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C027B29-A66E-0C44-9063-EF72CB382DCB}"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T81"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T101" i="1"/>
  <c r="BT102" i="1"/>
  <c r="BT103" i="1"/>
  <c r="BT104" i="1"/>
  <c r="BT105" i="1"/>
  <c r="BT106" i="1"/>
  <c r="BT107" i="1"/>
  <c r="BF108" i="1"/>
  <c r="BT108" i="1"/>
  <c r="BF109" i="1"/>
  <c r="BT109" i="1"/>
  <c r="BF110" i="1"/>
  <c r="BT110" i="1"/>
  <c r="BT111" i="1"/>
  <c r="BT112" i="1"/>
  <c r="BT113" i="1"/>
  <c r="BF114" i="1"/>
  <c r="BT114"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T146"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T213" i="1"/>
  <c r="BF214" i="1"/>
  <c r="BT214" i="1"/>
  <c r="BF215" i="1"/>
  <c r="BT215" i="1"/>
  <c r="BF216" i="1"/>
  <c r="BT216" i="1"/>
  <c r="BF217" i="1"/>
  <c r="BT217" i="1"/>
  <c r="BF218" i="1"/>
  <c r="BT218" i="1"/>
  <c r="BF219" i="1"/>
  <c r="BT219" i="1"/>
  <c r="BF220" i="1"/>
  <c r="BT220" i="1"/>
  <c r="BF221" i="1"/>
  <c r="BT221" i="1"/>
  <c r="BT222" i="1"/>
  <c r="BF223" i="1"/>
  <c r="BT223" i="1"/>
  <c r="BF224" i="1"/>
  <c r="BT224" i="1"/>
  <c r="BF225" i="1"/>
  <c r="BT225" i="1"/>
  <c r="BT226" i="1"/>
  <c r="BF227" i="1"/>
  <c r="BT227" i="1"/>
  <c r="BF228" i="1"/>
  <c r="BT228" i="1"/>
  <c r="BF229" i="1"/>
  <c r="BT229" i="1"/>
  <c r="BF230" i="1"/>
  <c r="BT230" i="1"/>
  <c r="BF231" i="1"/>
  <c r="BT231"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T304" i="1"/>
  <c r="BF305" i="1"/>
  <c r="BT305" i="1"/>
  <c r="BF306" i="1"/>
  <c r="BT306" i="1"/>
  <c r="BF307" i="1"/>
  <c r="BT307" i="1"/>
  <c r="BF308" i="1"/>
  <c r="BT308" i="1"/>
  <c r="BF309" i="1"/>
  <c r="BT309" i="1"/>
  <c r="BF310" i="1"/>
  <c r="BT310" i="1"/>
  <c r="BF311" i="1"/>
  <c r="BT311" i="1"/>
  <c r="BF312" i="1"/>
  <c r="BT312" i="1"/>
  <c r="BT313" i="1"/>
  <c r="BT314" i="1"/>
  <c r="BF315" i="1"/>
  <c r="BT315" i="1"/>
  <c r="BF316" i="1"/>
  <c r="BT316" i="1"/>
  <c r="BF317" i="1"/>
  <c r="BT317" i="1"/>
  <c r="BF318" i="1"/>
  <c r="BT318" i="1"/>
  <c r="BF319" i="1"/>
  <c r="BT319" i="1"/>
  <c r="BT320" i="1"/>
  <c r="BF321" i="1"/>
  <c r="BT321" i="1"/>
  <c r="BF322" i="1"/>
  <c r="BT322" i="1"/>
  <c r="BF323" i="1"/>
  <c r="BT323" i="1"/>
  <c r="BF324" i="1"/>
  <c r="BT324" i="1"/>
  <c r="BF325" i="1"/>
  <c r="BT325" i="1"/>
  <c r="BF326" i="1"/>
  <c r="BT326" i="1"/>
  <c r="BF327" i="1"/>
  <c r="BT327" i="1"/>
  <c r="BF328" i="1"/>
  <c r="BT328" i="1"/>
  <c r="BF329" i="1"/>
  <c r="BT329"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T346" i="1"/>
  <c r="BF347" i="1"/>
  <c r="BT347" i="1"/>
  <c r="BF348" i="1"/>
  <c r="BT348" i="1"/>
  <c r="BT349" i="1"/>
  <c r="BT350" i="1"/>
  <c r="BT351" i="1"/>
  <c r="BT352" i="1"/>
  <c r="BT353" i="1"/>
  <c r="BT354" i="1"/>
  <c r="BT355" i="1"/>
  <c r="BT356" i="1"/>
  <c r="BT357" i="1"/>
  <c r="BT358" i="1"/>
  <c r="BF359" i="1"/>
  <c r="BT359" i="1"/>
  <c r="BF360" i="1"/>
  <c r="BT360"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T407"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T442" i="1"/>
  <c r="BF443" i="1"/>
  <c r="BT443" i="1"/>
  <c r="BF444" i="1"/>
  <c r="BT444" i="1"/>
  <c r="BF445" i="1"/>
  <c r="BT445" i="1"/>
  <c r="BF446" i="1"/>
  <c r="BT446" i="1"/>
  <c r="BF447" i="1"/>
  <c r="BT447" i="1"/>
  <c r="BF448" i="1"/>
  <c r="BT448"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T541" i="1"/>
  <c r="BF542" i="1"/>
  <c r="BT542" i="1"/>
  <c r="BF543" i="1"/>
  <c r="BT543" i="1"/>
  <c r="BF544" i="1"/>
  <c r="BT544" i="1"/>
  <c r="BF545" i="1"/>
  <c r="BT545" i="1"/>
  <c r="BF546" i="1"/>
  <c r="BT546" i="1"/>
  <c r="BF547" i="1"/>
  <c r="BT547" i="1"/>
  <c r="BT548"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T562"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T597"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T621"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T640" i="1"/>
  <c r="BT641" i="1"/>
  <c r="BT642" i="1"/>
  <c r="BT643" i="1"/>
  <c r="BT644" i="1"/>
  <c r="BT645" i="1"/>
  <c r="BT646" i="1"/>
  <c r="BF647" i="1"/>
  <c r="BT647" i="1"/>
  <c r="BF648" i="1"/>
  <c r="BT648" i="1"/>
  <c r="BF649" i="1"/>
  <c r="BT649" i="1"/>
  <c r="BF650" i="1"/>
  <c r="BT650" i="1"/>
  <c r="BF651" i="1"/>
  <c r="BT651" i="1"/>
  <c r="BF652" i="1"/>
  <c r="BT652" i="1"/>
  <c r="BF653" i="1"/>
  <c r="BT653"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T713" i="1"/>
  <c r="BF714" i="1"/>
  <c r="BT714" i="1"/>
  <c r="BF715" i="1"/>
  <c r="BT715" i="1"/>
  <c r="BF716" i="1"/>
  <c r="BT716" i="1"/>
  <c r="BF717" i="1"/>
  <c r="BT717" i="1"/>
  <c r="BT718"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T732" i="1"/>
  <c r="BT733" i="1"/>
  <c r="BT734" i="1"/>
  <c r="BT735" i="1"/>
  <c r="BF736" i="1"/>
  <c r="BT736" i="1"/>
  <c r="BF737" i="1"/>
  <c r="BT737" i="1"/>
  <c r="BF738" i="1"/>
  <c r="BT738" i="1"/>
  <c r="BT739" i="1"/>
  <c r="BF740" i="1"/>
  <c r="BT740"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T787" i="1"/>
  <c r="BT788" i="1"/>
  <c r="BT789"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T805" i="1"/>
  <c r="BT806" i="1"/>
  <c r="BT807"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T948" i="1"/>
  <c r="BT949" i="1"/>
  <c r="BT950" i="1"/>
  <c r="BT951" i="1"/>
  <c r="BT952" i="1"/>
  <c r="BT953" i="1"/>
  <c r="BT954" i="1"/>
  <c r="BF955" i="1"/>
  <c r="BT955" i="1"/>
  <c r="BF956" i="1"/>
  <c r="BT956" i="1"/>
  <c r="BT957" i="1"/>
  <c r="BF958" i="1"/>
  <c r="BT958" i="1"/>
  <c r="BF959" i="1"/>
  <c r="BT959"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T981" i="1"/>
  <c r="BT982" i="1"/>
  <c r="BT983" i="1"/>
  <c r="BT984" i="1"/>
  <c r="BT985" i="1"/>
  <c r="BT986" i="1"/>
  <c r="BT987" i="1"/>
  <c r="BT988" i="1"/>
  <c r="BT989" i="1"/>
  <c r="BT990" i="1"/>
  <c r="BT991" i="1"/>
  <c r="BT992" i="1"/>
  <c r="BT993" i="1"/>
  <c r="BT994" i="1"/>
  <c r="BT995" i="1"/>
  <c r="BT996" i="1"/>
  <c r="BT997" i="1"/>
  <c r="BT998" i="1"/>
  <c r="BT999" i="1"/>
  <c r="BT1000" i="1"/>
  <c r="BT1001" i="1"/>
</calcChain>
</file>

<file path=xl/sharedStrings.xml><?xml version="1.0" encoding="utf-8"?>
<sst xmlns="http://schemas.openxmlformats.org/spreadsheetml/2006/main" count="59512" uniqueCount="13823">
  <si>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</si>
  <si>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</si>
  <si>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</si>
  <si>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</si>
  <si>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</si>
  <si>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</si>
  <si>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</si>
  <si>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</si>
  <si>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</si>
  <si>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</si>
  <si>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</si>
  <si>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</si>
  <si>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</si>
  <si>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</si>
  <si>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</si>
  <si>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</si>
  <si>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</si>
  <si>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</si>
  <si>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</si>
  <si>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</si>
  <si>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</si>
  <si>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</si>
  <si>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</si>
  <si>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</si>
  <si>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</si>
  <si>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</si>
  <si>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</si>
  <si>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</si>
  <si>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</si>
  <si>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</si>
  <si>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</si>
  <si>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</si>
  <si>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</si>
  <si>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</si>
  <si>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</si>
  <si>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</si>
  <si>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</si>
  <si>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</si>
  <si>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</si>
  <si>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</si>
  <si>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</si>
  <si>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</si>
  <si>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</si>
  <si>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</si>
  <si>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</si>
  <si>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</si>
  <si>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</si>
  <si>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</si>
  <si>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</si>
  <si>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</si>
  <si>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</si>
  <si>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</si>
  <si>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</si>
  <si>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</si>
  <si>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</si>
  <si>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</si>
  <si>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</si>
  <si>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</si>
  <si>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</si>
  <si>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</si>
  <si>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</si>
  <si>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</si>
  <si>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</si>
  <si>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</si>
  <si>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</si>
  <si>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</si>
  <si>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</si>
  <si>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</si>
  <si>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</si>
  <si>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</si>
  <si>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</si>
  <si>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</si>
  <si>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</si>
  <si>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Talley, LD; Reid, JL; Robbins, PE</t>
  </si>
  <si>
    <t/>
  </si>
  <si>
    <t>Data-based meridional overturning streamfunctions for the global ocean</t>
  </si>
  <si>
    <t>JOURNAL OF CLIMATE</t>
  </si>
  <si>
    <t>English</t>
  </si>
  <si>
    <t>Article</t>
  </si>
  <si>
    <t>NORTH-ATLANTIC OCEAN; TOTAL GEOSTROPHIC CIRCULATION; SOUTH INDIAN-OCEAN; PACIFIC INTERMEDIATE WATER; LARGE-SCALE CIRCULATION; EAST AUSTRALIAN CURRENT; THERMOHALINE CIRCULATION; FLOW PATTERNS; WORLD OCEAN; HYDROGRAPHIC SECTION</t>
  </si>
  <si>
    <t>The meridional overturning circulation for the Atlantic, Pacific, and Indian Oceans is computed from absolute geostrophic velocity estimates based on hydrographic data and from climatological Ekman transports. The Atlantic overturn includes the expected North Atlantic Deep Water formation ( including Labrador Sea Water and Nordic Sea Overflow Water), with an amplitude of about 18 Sv through most of the Atlantic and an error of the order of 3 - 5 Sv (1 Sv = 10(6) m(3) s(-1)). The Lower Circumpolar Deep Water ( Antarctic Bottom Water) flows north with about 8 Sv of upwelling and a southward return in the South Atlantic, and 6 Sv extending to and upwelling in the North Atlantic. The northward flow of 8 Sv in the upper layer in the Atlantic ( sea surface through the Antarctic Intermediate Water) is transformed to lower density in the Tropics before losing buoyancy in the Gulf Stream and North Atlantic Current. The Pacific overturning streamfunction includes 10 Sv of Lower Circumpolar Deep Water flowing north into the South Pacific to upwell and return southward as Pacific Deep Water, and a North Pacific Intermediate Water cell of 2 Sv. The northern North Pacific has no active deep water formation at the sea surface, but in this analysis there is downwelling from the Antarctic Intermediate Water into the Pacific Deep Water, with upwelling in the Tropics. For global Southern Hemisphere overturn across 30degreesS, the overturning is separated into a deep and a shallow overturning cell. In the deep cell, 22 - 27 Sv of deep water flows southward and returns northward as bottom water. In the shallow cell, 9 Sv flows southward at low density and returns northward just above the intermediate water density. In all three oceans, the Tropics appear to dominate upwelling across isopycnals, including the migration of the deepest waters upward to the thermocline in the Indian and Pacific. Estimated diffusivities associated with this tropical upwelling are the same order of magnitude in all three oceans. It is shown that vertically varying diffusivity associated with topography can produce deep downwelling in the absence of external buoyancy loss. The rate of such downwelling for the northern North Pacific is estimated as 2 Sv at most, which is smaller than the questionable downwelling derived from the velocity analysis.</t>
  </si>
  <si>
    <t>Univ Calif San Diego, Scripps Inst Oceanog, La Jolla, CA 92093 USA</t>
  </si>
  <si>
    <t>University of California System; University of California San Diego; Scripps Institution of Oceanography</t>
  </si>
  <si>
    <t>Talley, LD (corresponding author), Univ Calif San Diego, Scripps Inst Oceanog, 9500 Gilman Dr, La Jolla, CA 92093 USA.</t>
  </si>
  <si>
    <t>Talley, Lynne/0000-0003-1574-729X</t>
  </si>
  <si>
    <t>AMER METEOROLOGICAL SOC</t>
  </si>
  <si>
    <t>BOSTON</t>
  </si>
  <si>
    <t>45 BEACON ST, BOSTON, MA 02108-3693 USA</t>
  </si>
  <si>
    <t>0894-8755</t>
  </si>
  <si>
    <t>J CLIMATE</t>
  </si>
  <si>
    <t>J. Clim.</t>
  </si>
  <si>
    <t>OCT</t>
  </si>
  <si>
    <t>10.1175/1520-0442(2003)016&lt;3213:DMOSFT&gt;2.0.CO;2</t>
  </si>
  <si>
    <t>Meteorology &amp; Atmospheric Sciences</t>
  </si>
  <si>
    <t>Science Citation Index Expanded (SCI-EXPANDED)</t>
  </si>
  <si>
    <t>728FX</t>
  </si>
  <si>
    <t>Bronze</t>
  </si>
  <si>
    <t>2024-04-21</t>
  </si>
  <si>
    <t>WOS:000185707600008</t>
  </si>
  <si>
    <t>Salamatin, AN; Lipenkov, VY; Hondoh, T</t>
  </si>
  <si>
    <t>Air-hydrate crystal growth in polar ice</t>
  </si>
  <si>
    <t>JOURNAL OF CRYSTAL GROWTH</t>
  </si>
  <si>
    <t>diffusion; supersaturated solutions; natural crystal growth; clathrate hydrates</t>
  </si>
  <si>
    <t>DEEP ICE; ANTARCTIC ICE; VOSTOK; CORE; GREENLAND; SHEETS; TEMPERATURE; NUCLEATION; CLIMATE; STATION</t>
  </si>
  <si>
    <t>Based on the theory of precipitation from supersaturated solutions proposed by Lifshitz and Slyozov (J. Phys. Chem. Solids 19 (1/2) (1961) 35), we develop a mathematical description of post-formation growth (ripening) of mixed air clathrate-hydrate crystalline inclusions in polar ice sheets. The growth is controlled by oxygen and nitrogen diffusion through the ice matrix. Hydrate populations in general go through three sequential stages: (1) a short transient characterized by the rapid composition relaxation and dissolution of the smallest hydrates, (2) a slow transformation of the resulting size distributions towards a steady-state pattern that is an attribute of (3) the asymptotic stage of ripening. A regularization procedure is used to numerically solve the initial value problem. Computer simulations of the hydrate size distributions are compared to the data from a 3300-m ice core from Vostok Station, East Antarctica. The asymptotic stage is likely unattainable in natural conditions. Data from the GRIP ice core (central Greenland) suggest that the activation energy of hydrate growth increases at the elevated temperature near the ice-sheet bottom. The theory predicts extinction of the climatically induced fluctuations in the hydrate number-concentration and mean-radius profiles in ice sheets with depth. (C) 2003 Elsevier B.V. All rights reserved.</t>
  </si>
  <si>
    <t>Hokkaido Univ, Inst Low Temp Sci, Sapporo, Hokkaido 0600819, Japan; Kazan VI Lenin State Univ, Dept Appl Math, Kazan 420008, Russia; Arctic &amp; Antarctic Res Inst, St Petersburg 199397, Russia</t>
  </si>
  <si>
    <t>Hokkaido University; Kazan Federal University; Arctic &amp; Antarctic Research Institute</t>
  </si>
  <si>
    <t>Hondoh, T (corresponding author), Hokkaido Univ, Inst Low Temp Sci, N19,W8, Sapporo, Hokkaido 0600819, Japan.</t>
  </si>
  <si>
    <t>HONDOH, Takeo/E-7551-2011; Lipenkov, Vladimir/Q-8262-2016; Salamatin, Andrey/A-9831-2016</t>
  </si>
  <si>
    <t>HONDOH, Takeo/0000-0003-4129-022X; Lipenkov, Vladimir/0000-0003-4221-5440; Salamatin, Andrey/0000-0002-5988-6024</t>
  </si>
  <si>
    <t>ELSEVIER SCIENCE BV</t>
  </si>
  <si>
    <t>AMSTERDAM</t>
  </si>
  <si>
    <t>PO BOX 211, 1000 AE AMSTERDAM, NETHERLANDS</t>
  </si>
  <si>
    <t>0022-0248</t>
  </si>
  <si>
    <t>J CRYST GROWTH</t>
  </si>
  <si>
    <t>J. Cryst. Growth</t>
  </si>
  <si>
    <t>3-4</t>
  </si>
  <si>
    <t>10.1016/S0022-0248(03)01472-6</t>
  </si>
  <si>
    <t>Crystallography; Materials Science, Multidisciplinary; Physics, Applied</t>
  </si>
  <si>
    <t>Crystallography; Materials Science; Physics</t>
  </si>
  <si>
    <t>722ZF</t>
  </si>
  <si>
    <t>WOS:000185407400029</t>
  </si>
  <si>
    <t>Braun, MH; Brill, RW; Gosline, JM; Jones, DR</t>
  </si>
  <si>
    <t>Form and function of the bulbus arteriosus in yellowfin tuna (Thunnus albacares), bigeye tuna (Thunnus obesus) and blue marlin (Makaira nigricans):: static properties</t>
  </si>
  <si>
    <t>JOURNAL OF EXPERIMENTAL BIOLOGY</t>
  </si>
  <si>
    <t>bulbus arteriosus; P-V loop; r-shaped curve; stress; modulus; tuna; marlin; Thunnus; Makaira</t>
  </si>
  <si>
    <t>TROUT SALMO-GAIRDNERI; VENTRAL AORTA; MECHANICAL-PROPERTIES; ANTARCTIC TELEOSTS; ELASTIC PROPERTIES; FISH; MORPHOLOGY; HEART; ULTRASTRUCTURE; INNERVATION</t>
  </si>
  <si>
    <t>The juxtaposition of heart and gills in teleost fish means that the Windkessel function characteristic of the whole mammalian arterial tree has to be subserved by the extremely short ventral aorta and bulbus arteriosus. Over the functional pressure range, arteries from blue marlin (Makaira nigricans) and yellowfin tuna (Thunnus albacares) have J-shaped pressure-volume (P-V) loops, while bulbi from the same species have r-shaped P-V loops, with a steep initial rise followed by a compliant plateau phase. The steep initial rise in pressure is due to the geometry of the lumen. The interactions between radius, pressure and tension require a large initial pressure to open the bulbar lumen for flow. The plateau is due to the unique organization of the bulbar wall. The large elastin:collagen ratio, limited amount of collagen arranged cirumferentially, lack of elastin lamellae and low hydrophobicity of the elastin itself all combine to lower stiffness, increase extensibility and allow efficient recoil. Even though the modulus of bulbus material is much lower than that of an artery, at large volumes the overall stiffness of the bulbus increases rapidly. The morphological features that give rise to the special inflation characteristics of the bulbus help to extend flow and maintain pressure during diastole.</t>
  </si>
  <si>
    <t>Univ Cambridge, Dept Zool, Cambridge CB2 3EJ, England; Virginia Inst Marine Sci, Cooperat Marine Educ &amp; Res Program, Gloucester Point, VA 23062 USA; Univ British Columbia, Dept Zool, Vancouver, BC V6T 1Z4, Canada; Univ British Columbia, Vancouver, BC V6T 1W5, Canada</t>
  </si>
  <si>
    <t>University of Cambridge; William &amp; Mary; Virginia Institute of Marine Science; University of British Columbia; University of British Columbia</t>
  </si>
  <si>
    <t>Braun, MH (corresponding author), Univ Cambridge, Dept Zool, Downing St, Cambridge CB2 3EJ, England.</t>
  </si>
  <si>
    <t>COMPANY OF BIOLOGISTS LTD</t>
  </si>
  <si>
    <t>CAMBRIDGE</t>
  </si>
  <si>
    <t>BIDDER BUILDING CAMBRIDGE COMMERCIAL PARK COWLEY RD, CAMBRIDGE CB4 4DL, CAMBS, ENGLAND</t>
  </si>
  <si>
    <t>0022-0949</t>
  </si>
  <si>
    <t>J EXP BIOL</t>
  </si>
  <si>
    <t>J. Exp. Biol.</t>
  </si>
  <si>
    <t>10.1242/jeb.00575</t>
  </si>
  <si>
    <t>Biology</t>
  </si>
  <si>
    <t>Life Sciences &amp; Biomedicine - Other Topics</t>
  </si>
  <si>
    <t>755FT</t>
  </si>
  <si>
    <t>Bronze, Green Published</t>
  </si>
  <si>
    <t>WOS:000187393400010</t>
  </si>
  <si>
    <t>Biuw, M; McConnell, B; Bradshaw, CJA; Burton, H; Fedak, M</t>
  </si>
  <si>
    <t>Blubber and buoyancy: monitoring the body condition of free-ranging seals using simple dive characteristics</t>
  </si>
  <si>
    <t>buoyancy; marine mammal; elephant seal; body composition; foraging ecology; satellite telemetry</t>
  </si>
  <si>
    <t>SOUTHERN ELEPHANT SEALS; PENGUINS APTENODYTES-PATAGONICUS; ANTARCTIC FUR SEALS; MIROUNGA-LEONINA; STOMACH TEMPERATURE; DIVING BEHAVIOR; KING PENGUINS; PHOCA-VITULINA; FORAGING IMPLICATIONS; FEEDING-BEHAVIOR</t>
  </si>
  <si>
    <t>Elephant seals regularly perform dives during which they spend a large proportion of time drifting passively through the water column. The rate of vertical change in depth during these 'drift' dives is largely a result of the proportion of lipid tissue in the body, with fatter seals having higher (more positive or less negative) drift rates compared with leaner seals. We examined the temporal changes in drift rates of 24 newly weaned southern elephant seal (Mirounga leonina) pups during their first trip to sea to determine if this easily recorded dive characteristic can be used to continuously monitor changes in body composition of seals throughout their foraging trips. All seals demonstrated a similar trend over time: drift rates were initially positive but decreased steadily over the first 30-50 days after departure (Phase 1), corresponding to seals becoming gradually less buoyant. Over the following similar to100 days (Phase 2), drift rates again increased gradually, while during the last similar to20-45 days (Phase 3) drift rates either remained constant or decreased slightly. The daily rate of change in drift rate was negatively related to the daily rate of horizontal displacement (daily travel rate), and daily travel rates of more than similar to80 km were almost exclusively associated with negative changes in drift rate. We developed a mechanistic model based on body compositions and morphometrics measured in the field, published values for the density of seawater and various body components, and values of drag coefficients for objects of different shapes. We used this model to examine the theoretical relationships between drift rate and body composition and carried out a sensitivity analysis to quantify errors and biases caused by varying model parameters. While variations in seawater density and uncertainties in estimated body surface area and volume are unlikely to result in errors in estimated lipid content of more than +/-2.5%, variations in drag coefficient can lead to errors of greater than or equal to10%. Finally, we compared the lipid contents predicted by our model with the lipid contents measured using isotopically labelled water and found a strong positive correlation. The best-fitting model suggests that the drag coefficient of seals while drifting passively is between similar to0.49 (roughly corresponding to a sphere-shaped object) and 0.69 (a prolate spheroid), and we were able to estimate relative lipid content to within approximately +/-2% lipid. Our results suggest that this simple method can be used to estimate the changes in lipid content of free-ranging seals while at sea and may help improve our understanding of the foraging strategies of these important marine predators.</t>
  </si>
  <si>
    <t>Univ St Andrews, Sea Mammal Res Unit, Gatty Marine Lab, St Andrews KY16 8LB, Fife, Scotland; Univ Tasmania, Antarctic Wildlife Res Unit, Sch Zool, Hobart, Tas 7001, Australia; Australian Antarctic Div, Kingston, Tas 7050, Australia</t>
  </si>
  <si>
    <t>University of St Andrews; University of Tasmania; Australian Antarctic Division</t>
  </si>
  <si>
    <t>Biuw, M (corresponding author), Univ St Andrews, Sea Mammal Res Unit, Gatty Marine Lab, St Andrews KY16 8LB, Fife, Scotland.</t>
  </si>
  <si>
    <t>Biuw, Martin/AAF-9895-2021; Bradshaw, Corey J. A./A-1311-2008; McConnell, Bernie/G-6553-2019; Fedak, Michael/B-3987-2009</t>
  </si>
  <si>
    <t>Bradshaw, Corey J. A./0000-0002-5328-7741; McConnell, Bernie/0000-0001-7575-5270; Fedak, Michael/0000-0002-9569-1128; Biuw, Martin/0000-0001-8051-3399</t>
  </si>
  <si>
    <t>10.1242/jeb.00583</t>
  </si>
  <si>
    <t>Green Published</t>
  </si>
  <si>
    <t>WOS:000187393400018</t>
  </si>
  <si>
    <t>von Storch, JS</t>
  </si>
  <si>
    <t>Progress in understanding momentum exchange process - Another look at the role of mass transports</t>
  </si>
  <si>
    <t>JOURNAL OF GEODYNAMICS</t>
  </si>
  <si>
    <t>Article; Proceedings Paper</t>
  </si>
  <si>
    <t>26th Meeting of the European-Geophysical-Society</t>
  </si>
  <si>
    <t>MAR 25-30, 2001</t>
  </si>
  <si>
    <t>NICE, FRANCE</t>
  </si>
  <si>
    <t>SOUTHERN-HEMISPHERE; ANGULAR MOMENTA; MODES</t>
  </si>
  <si>
    <t>Mass transports induced by an imposing torque have two effects. First, they act to alter the moment of inertia so the fluid becomes more inert to the torque. Secondly, they establish pressure gradients that counteract the imposed forcing. Both effects make a fluid body more inert than a rigid body with the same mass. Apart from these general effects, the influence of various types of mass transports on the temporal behavior of the Antarctic and Arctic oscillations, the dominant modes in the extratropical atmosphere, is also discussed. (C) 2003 Elsevier Ltd. All rights reserved.</t>
  </si>
  <si>
    <t>Univ Hamburg, Inst Meteorol, D-2000 Hamburg, Germany</t>
  </si>
  <si>
    <t>University of Hamburg</t>
  </si>
  <si>
    <t>von Storch, JS (corresponding author), Univ Hamburg, Inst Meteorol, D-2000 Hamburg, Germany.</t>
  </si>
  <si>
    <t>jin-song.storch@dkrz.de</t>
  </si>
  <si>
    <t>PERGAMON-ELSEVIER SCIENCE LTD</t>
  </si>
  <si>
    <t>OXFORD</t>
  </si>
  <si>
    <t>THE BOULEVARD, LANGFORD LANE, KIDLINGTON, OXFORD OX5 1GB, ENGLAND</t>
  </si>
  <si>
    <t>0264-3707</t>
  </si>
  <si>
    <t>J GEODYN</t>
  </si>
  <si>
    <t>J. Geodyn.</t>
  </si>
  <si>
    <t>10.1016/S0264-3707(03)00055-3</t>
  </si>
  <si>
    <t>Geochemistry &amp; Geophysics</t>
  </si>
  <si>
    <t>Science Citation Index Expanded (SCI-EXPANDED); Conference Proceedings Citation Index - Science (CPCI-S)</t>
  </si>
  <si>
    <t>709YJ</t>
  </si>
  <si>
    <t>WOS:000184653900003</t>
  </si>
  <si>
    <t>Johnson, TB; Terazaki, M</t>
  </si>
  <si>
    <t>Species composition and depth distribution of chaetognaths in a Kuroshio warm-core ring and Oyashio water</t>
  </si>
  <si>
    <t>JOURNAL OF PLANKTON RESEARCH</t>
  </si>
  <si>
    <t>SUB-ARCTIC PACIFIC; GULF-STREAM RING; OCEAN STATION-P; VERTICAL-DISTRIBUTION; SAGITTA-ELEGANS; EUKROHNIA-HAMATA; POPULATION-STRUCTURE; ANTARCTIC PENINSULA; GERLACHE STRAIT; ABUNDANCE</t>
  </si>
  <si>
    <t>Chaelognath species composition, diversity and depth distribution were investigated inside and outside a warm-core ring off the north-east coast of Japan. Time series samples were collected at a station inside a Kuroshio warm-core ring (KWCR) and at a station in the surrounding Oyashio water. Greater mean abundance of 2.51 +/- 0.116 (mean +/-SE) chaetognaths m(-3) was found outside the ring compared with 1.75 +/- 0.321 chaetognaths m(-3) collected within the ring. However, species diversity values were higher within the KWCR (Shannon-Weaver index). Eukrohnia hamata was the dominant species outside the ring, comprising 79.8-87.9% of the total chaetognaths per haul. Inside, Sagitta minima was dominant, comprising 35.1-44.3%. Most E. hamata were collected in deeper layers within the KWCR and their abundance was on average only 9% of that found in the Oyashio region. Only E. hamata and Sagitta scrippsae had different depth distributions in the KWCR. The vertical distribution of E. hamata by body size appeared altered by the KWCR. Although the mean length of E. hamata was not significantly different between regions, sexual development appeared inhibited in the ring. Sagitta elegans collected in the KWCR were mostly small in size (&lt;10 mm), significantly smaller than in the Oyashio water.</t>
  </si>
  <si>
    <t>Univ Tokyo, Ocean Res Inst, Nakano Ku, Tokyo 1648639, Japan</t>
  </si>
  <si>
    <t>University of Tokyo</t>
  </si>
  <si>
    <t>Johnson, TB (corresponding author), Univ Tokyo, Ocean Res Inst, Nakano Ku, 1-15-1 Minamidai, Tokyo 1648639, Japan.</t>
  </si>
  <si>
    <t>OXFORD UNIV PRESS</t>
  </si>
  <si>
    <t>GREAT CLARENDON ST, OXFORD OX2 6DP, ENGLAND</t>
  </si>
  <si>
    <t>0142-7873</t>
  </si>
  <si>
    <t>J PLANKTON RES</t>
  </si>
  <si>
    <t>J. Plankton Res.</t>
  </si>
  <si>
    <t>10.1093/plankt/fbg085</t>
  </si>
  <si>
    <t>Marine &amp; Freshwater Biology; Oceanography</t>
  </si>
  <si>
    <t>733ZN</t>
  </si>
  <si>
    <t>WOS:000186030900007</t>
  </si>
  <si>
    <t>Desideri, D; Giuliani, S; Testa, C; Triulzi, C</t>
  </si>
  <si>
    <t>90Sr, 137Cs, 23Pu, 239+240Pu and 241Am levels in terrestrial and marine ecosystems around the Italian base in Antarctica</t>
  </si>
  <si>
    <t>JOURNAL OF RADIOANALYTICAL AND NUCLEAR CHEMISTRY</t>
  </si>
  <si>
    <t>RADIONUCLIDES; PLUTONIUM; ENVIRONMENT; MOSSES</t>
  </si>
  <si>
    <t>During the last 14 years the Radioecology Laboratory of Parma University and the General Chemistry Institute of Urbino University collaborated on a radioecological programme having the aim to observe the evolution of antropogenic radioactivity in Antarctica in the period 1987-2001. The artificial radionuclides considered were Sr-90, Cs-137, Pu239+240, Pu-238 and Am-241. The contamination seems to be higher in the continental environment rather than in the marine one. Mosses, algae and lichens showed the highest values for all radionuclides analyzed. The results prove that the Antarctic continent is interested by radioactive pollution. As far as Cs-137 is concerned, a progressive decrease was observed.</t>
  </si>
  <si>
    <t>Univ Parma, Dept Evolut &amp; Funct Biol, Lab Radioecol, I-43100 Parma, Italy; Univ Urbino, Inst Gen Chem, I-61029 Urbino, Italy</t>
  </si>
  <si>
    <t>University of Parma; University of Urbino</t>
  </si>
  <si>
    <t>Univ Parma, Dept Evolut &amp; Funct Biol, Lab Radioecol, I-43100 Parma, Italy.</t>
  </si>
  <si>
    <t>GIULIANI, SILVIA/E-4164-2018</t>
  </si>
  <si>
    <t>GIULIANI, SILVIA/0000-0001-8101-1868</t>
  </si>
  <si>
    <t>SPRINGER</t>
  </si>
  <si>
    <t>DORDRECHT</t>
  </si>
  <si>
    <t>VAN GODEWIJCKSTRAAT 30, 3311 GZ DORDRECHT, NETHERLANDS</t>
  </si>
  <si>
    <t>0236-5731</t>
  </si>
  <si>
    <t>1588-2780</t>
  </si>
  <si>
    <t>J RADIOANAL NUCL CH</t>
  </si>
  <si>
    <t>J. Radioanal. Nucl. Chem.</t>
  </si>
  <si>
    <t>10.1023/A:1026213132452</t>
  </si>
  <si>
    <t>Chemistry, Analytical; Chemistry, Inorganic &amp; Nuclear; Nuclear Science &amp; Technology</t>
  </si>
  <si>
    <t>Chemistry; Nuclear Science &amp; Technology</t>
  </si>
  <si>
    <t>734FP</t>
  </si>
  <si>
    <t>WOS:000186044600003</t>
  </si>
  <si>
    <t>Jackson, GD; O'Shea, S</t>
  </si>
  <si>
    <t>Unique hooks in the male scaled squid Lepidoteuthis grimaldi</t>
  </si>
  <si>
    <t>JOURNAL OF THE MARINE BIOLOGICAL ASSOCIATION OF THE UNITED KINGDOM</t>
  </si>
  <si>
    <t>The male scaled squid Lepidoteuthis grimaldii hereby reported for the first time, is equipped with a pair of grossly enlarged sabre-like hooks. These unique hooks, found only on males, are without parallel amongst cephalopods. As a sexually dimorphic character. they are more likely to be involved in reproduction than predation.</t>
  </si>
  <si>
    <t>Univ Tasmania, Inst Antarctic &amp; So Ocean Studies, Hobart, Tas 7001, Australia; Auckland Univ Technol, Inst Earth &amp; Ocean Sci, Auckland, New Zealand</t>
  </si>
  <si>
    <t>University of Tasmania; Auckland University of Technology</t>
  </si>
  <si>
    <t>Jackson, GD (corresponding author), Univ Tasmania, Inst Antarctic &amp; So Ocean Studies, Private Bag 77, Hobart, Tas 7001, Australia.</t>
  </si>
  <si>
    <t>Jackson, George D/AAI-7315-2021</t>
  </si>
  <si>
    <t>O'Shea, Steve/0000-0001-8101-4399</t>
  </si>
  <si>
    <t>CAMBRIDGE UNIV PRESS</t>
  </si>
  <si>
    <t>NEW YORK</t>
  </si>
  <si>
    <t>40 WEST 20TH ST, NEW YORK, NY 10011-4211 USA</t>
  </si>
  <si>
    <t>0025-3154</t>
  </si>
  <si>
    <t>J MAR BIOL ASSOC UK</t>
  </si>
  <si>
    <t>J. Mar. Biol. Assoc. U.K.</t>
  </si>
  <si>
    <t>10.1017/S0025315403008324h</t>
  </si>
  <si>
    <t>Marine &amp; Freshwater Biology</t>
  </si>
  <si>
    <t>740VH</t>
  </si>
  <si>
    <t>WOS:000186421900032</t>
  </si>
  <si>
    <t>Bowen, WD; Ellis, SL; Iverson, SJ; Boness, DJ</t>
  </si>
  <si>
    <t>Maternal and newborn life-history traits during periods of contrasting population trends:: implications for explaining the decline of harbour seals (Phoca vitulina), on Sable Island</t>
  </si>
  <si>
    <t>JOURNAL OF ZOOLOGY</t>
  </si>
  <si>
    <t>pinniped; Phoca vitulina; interannual variation; life-history traits; population decline</t>
  </si>
  <si>
    <t>ANTARCTIC FUR SEALS; SCOTIAN SHELF; GREY SEALS; LACTATION PERFORMANCE; HALICHOERUS-GRYPUS; DECADAL CHANGES; BIRTH; AGE; MASS; CONSEQUENCES</t>
  </si>
  <si>
    <t>Annual censuses of the number of harbour seal Phoca vitulina pups born on Sable Island Canada showed an increasing trend during the 1980s, but a rapid decline through the 1990s from 625 pups in 1989 to only 32 by 1997. Weekly surveys of the North Beach of the island during the 1991-98 breeding seasons showed that the number of adults and juveniles also declined during the 1990s. Despite the dramatic demographic changes, maternal postpartum mass, pup birth mass, relative birth mass, lactation duration, pup weaning mass and relative weaning mass showed no significant trends during 1987-96. However, two traits did change. The age structure of parturient females increased significantly, indicating reduced recruitment to the breeding population. Mean birth date increased by 7 days during the early 1990s, suggesting nutritional stress of females and later implantation dates. This nutritional stress may in turn have been caused by increased competition from the rapidly increasing grey seal population on Sable Island. Although minimum estimates of shark-inflicted mortality can account for much of the decline, evidence suggests that food shortage arising from interspecific competition may have also played a role in causing the decline of the population through effects on fecundity and juvenile survival.</t>
  </si>
  <si>
    <t>Fisheries &amp; Oceans Canada, Bedford Inst Oceanog, Marine Fish Div, Dartmouth, NS B2Y 4A2, Canada; Dalhousie Univ, Dept Biol, Halifax, NS B3H 4J1, Canada; Lobster Conservancy, Friendship, ME 04547 USA; Smithsonian Inst, Natl Zool Pk, Conservat &amp; Res Ctr, Washington, DC 20008 USA</t>
  </si>
  <si>
    <t>Fisheries &amp; Oceans Canada; Bedford Institute of Oceanography; Dalhousie University; Smithsonian Institution; Smithsonian National Zoological Park &amp; Conservation Biology Institute</t>
  </si>
  <si>
    <t>Fisheries &amp; Oceans Canada, Bedford Inst Oceanog, Marine Fish Div, POB 1006, Dartmouth, NS B2Y 4A2, Canada.</t>
  </si>
  <si>
    <t>bowen@mar.dfo-mfo.gc.ca</t>
  </si>
  <si>
    <t>Bowen, William/AAE-7204-2022; Bowen, William D/D-2758-2012</t>
  </si>
  <si>
    <t>Bowen, William/0000-0001-8334-5677; Iverson, Sara/0000-0003-2842-4094</t>
  </si>
  <si>
    <t>WILEY</t>
  </si>
  <si>
    <t>HOBOKEN</t>
  </si>
  <si>
    <t>111 RIVER ST, HOBOKEN 07030-5774, NJ USA</t>
  </si>
  <si>
    <t>0952-8369</t>
  </si>
  <si>
    <t>1469-7998</t>
  </si>
  <si>
    <t>J ZOOL</t>
  </si>
  <si>
    <t>J. Zool.</t>
  </si>
  <si>
    <t>10.1017/S0952836903004047</t>
  </si>
  <si>
    <t>Zoology</t>
  </si>
  <si>
    <t>739DV</t>
  </si>
  <si>
    <t>WOS:000186327700005</t>
  </si>
  <si>
    <t>Bridge, PD; Roberts, PJ; Spooner, BM; Panchal, G</t>
  </si>
  <si>
    <t>On the unreliability of published DNA sequences</t>
  </si>
  <si>
    <t>NEW PHYTOLOGIST</t>
  </si>
  <si>
    <t>DNA sequences; fungi; systematics; reliability; ribosomal RNA; databases</t>
  </si>
  <si>
    <t>MOLECULAR SYSTEMATICS; GENERA</t>
  </si>
  <si>
    <t>Here, the reliability of published fungal nucleic acid sequences is tested by the critical re-evaluation of 206 named sequences obtained from public-access databases. Sequences from the ribosomal RNA (rRNA) gene cluster were examined as these are commonly used to establish fungal phylogeny and evolution, and are also increasingly employed in the identification of fungi from nonculture based studies. Fifty-one rRNA internal transcribed spacer (ITS) sequences were obtained for species of Amanita, 55 ITS sequences were obtained for species of Phoma and 100 rRNA small subunit sequences were obtained from representative genera of the order Helotiales. in each case, the fungal group was selected partly on the basis of sequences deposited by three or more laboratories in order to avoid sample bias. The results suggest that up to 20% of the sequences available for each group may be unreliable, and this proportion is supported by additional informal observations.</t>
  </si>
  <si>
    <t>Univ London Birkbeck Coll, Sch Biol &amp; Chem Sci, London WC1E 7HX, England; Royal Bot Gardens, Mycol Sect, Richmond TW9 3AB, Surrey, England</t>
  </si>
  <si>
    <t>University of London; Birkbeck University London; Royal Botanic Gardens, Kew</t>
  </si>
  <si>
    <t>British Antarctic Survey, NERC, High Cross,Madingley Rd, Cambridge CB3 0ET, England.</t>
  </si>
  <si>
    <t>pdbr@bas.ac.uk</t>
  </si>
  <si>
    <t>0028-646X</t>
  </si>
  <si>
    <t>1469-8137</t>
  </si>
  <si>
    <t>NEW PHYTOL</t>
  </si>
  <si>
    <t>New Phytol.</t>
  </si>
  <si>
    <t>10.1046/j.1469-8137.2003.00861.x</t>
  </si>
  <si>
    <t>Plant Sciences</t>
  </si>
  <si>
    <t>725RZ</t>
  </si>
  <si>
    <t>WOS:000185557300008</t>
  </si>
  <si>
    <t>Wirtz, N; Lumbsch, HT; Green, TGA; Türk, R; Pintado, A; Sancho, L; Schroeter, B</t>
  </si>
  <si>
    <t>Lichen fungi have low cyanobiont selectivity in maritime Antarctica</t>
  </si>
  <si>
    <t>lichens; Nostoc; cyanobacteria; maritime Antarctica; symbiont specificity; tRNA(Leu) intron</t>
  </si>
  <si>
    <t>GROUP-I INTRONS; NOSTOC-CONTAINING LICHENS; GENETIC DIVERSITY; EVOLUTIONARY PATTERNS; SPECIFICITY; CYANOBACTERIA; COMMUNITIES; SEQUENCES; SYMBIONTS; MARKER</t>
  </si>
  <si>
    <t>The cyanobionts of lichens and free-living Nostoc strains from Livingston island (maritime Antarctica) were examined to determine both the cyanobiont specificity of lichens and the spatial distribution of Nostoc strains under extreme environmental conditions. We collected five different lichen species with cyanobacteria as primary or secondary photobiont (Massalongia carnosa, Leptogium puberulum, Psoroma cinnamomeum, Placopsis parellina and Placopsis contortuplicata) and free-living cyanobacteria from different sample sites and analysed them using the tRNA(Leu) (UAA) intron as a genetic marker to identify the cyanobacterial strains. Our results showed that the same Nostoc strain was shared by all five lichen species and that an additional strain was present in two of the lichens. Both Nostoc strains associated with lichen fungi also occurred free-living in their surrounding. Bi- and tri-partite lichens were not different in their cyanobiont selectivity. Contrary to studies on different lichen species in temperate regions, the Antarctic lichen species here did not use species-specific cyanobionts; this could be because of a selection pressure in this extreme environment. Limiting factors under these ecological conditions favor more versatile mycobionts. This results in selection against photobiont specificity, a selection pressure that may be more important for lichen distribution than the effect of cold temperatures on metabolism.</t>
  </si>
  <si>
    <t>Univ Duisburg Gesamthsch, Inst Bot, Essen, Germany; Field Museum Nat Hist, Dept Bot, Chicago, IL 60605 USA; Univ Waikato, Hamilton, New Zealand; Salzburg Univ, Inst Pflanzenphysiol, A-5020 Salzburg, Austria; Univ Complutense Madrid, Dept Biol Vegetal 2, E-28040 Madrid, Spain; Univ Kiel, Inst Bot, D-2300 Kiel, Germany</t>
  </si>
  <si>
    <t>University of Duisburg Essen; Field Museum of Natural History (Chicago); University of Waikato; Salzburg University; Complutense University of Madrid; University of Kiel</t>
  </si>
  <si>
    <t>Lumbsch, HT (corresponding author), Univ Duisburg Gesamthsch, Inst Bot, Essen, Germany.</t>
  </si>
  <si>
    <t>Pintado, Ana/G-9881-2015; Lumbsch, Thorsten/K-3573-2012; SANCHO, LEOPOLDO/G-9120-2015</t>
  </si>
  <si>
    <t>PINTADO, ANA/0000-0003-3007-1486; SANCHO, LEOPOLDO/0000-0002-4751-7475</t>
  </si>
  <si>
    <t>BLACKWELL PUBLISHING LTD</t>
  </si>
  <si>
    <t>9600 GARSINGTON RD, OXFORD OX4 2DG, OXON, ENGLAND</t>
  </si>
  <si>
    <t>10.1046/j.1469-8137.2003.00859.x</t>
  </si>
  <si>
    <t>WOS:000185557300021</t>
  </si>
  <si>
    <t>Aguzzi, A; Flückiger, B; Rossi, MJ</t>
  </si>
  <si>
    <t>The nature of the interface and the diffusion coefficient of HCl/ice and HBr/ice in the temperature range 190-205 K</t>
  </si>
  <si>
    <t>PHYSICAL CHEMISTRY CHEMICAL PHYSICS</t>
  </si>
  <si>
    <t>POLAR STRATOSPHERIC CLOUDS; LASER RESONANT DESORPTION; REAL-TIME KINETICS; HETEROGENEOUS REACTIONS; SULFURIC-ACID; ANTARCTIC OZONE; ICE SURFACES; HYDROGEN-CHLORIDE; ACTIVE CHLORINE; SOLID-SOLUTION</t>
  </si>
  <si>
    <t>We have investigated the structural properties of the near-surface region of various types of HX (X=Cl, Br)-doped H2O ice from a kinetic point of view by monitoring the time dependent [HX] in the interface region using the fast titration reaction XONO2 + HX --&gt; X-2 + HNO3. These dope and probe experiments reveal that HX is located throughout a well-defined region of thickness I readily available for titration. At 190 K and a dose of 10(16) molecules corresponding to one HCl monolayer condensed onto a typically 1 mum thick ice sample, we measured I-HCl = 90 +/- 9, 120 +/- 15 and 90 +/- 30 nm for single crystalline (SC), condensed (C) and frozen liquid water or bulk (B) ices, respectively, with I-HCl increasing by up to a factor of two with a tenfold increase in HCl dose. The corresponding values for HBr at the same temperature are I-HBr = 20 +/- 2, 30 +/- 4 and 30 +/- 4 nm. In addition. we have determined the bulk diffusion coefficient in bulk ice for HX, D-HX, by applying Fick's second law of diffusion that results in values for D-HCl and D-HBr in the range 5.1.10(-14) -4.3. 10(-13) cm(2) s(-1) and 2.5. 10(-15) -7.0. 10(-14) cm(2) s(-1). respectively, depending on the type of ice in the temperature range 190-205 K. The consequences of these results for heterogeneous reactions on ice particles such as Cirrus clouds, contrails and PSC's type II are discussed.</t>
  </si>
  <si>
    <t>Ecole Polytech Fed Lausanne, Lab Pollut Atmospher, Inst Sci &amp; Technol Environm, CH-1015 Lausanne, Switzerland</t>
  </si>
  <si>
    <t>Swiss Federal Institutes of Technology Domain; Ecole Polytechnique Federale de Lausanne</t>
  </si>
  <si>
    <t>Rossi, MJ (corresponding author), Ecole Polytech Fed Lausanne, Lab Pollut Atmospher, Inst Sci &amp; Technol Environm, CH-1015 Lausanne, Switzerland.</t>
  </si>
  <si>
    <t>Aguzzi, Adriano/A-3351-2008; ROSSI, Michel J./C-7878-2013</t>
  </si>
  <si>
    <t>ROSSI, Michel J./0000-0003-3504-695X</t>
  </si>
  <si>
    <t>ROYAL SOC CHEMISTRY</t>
  </si>
  <si>
    <t>THOMAS GRAHAM HOUSE, SCIENCE PARK, MILTON RD, CAMBRIDGE CB4 0WF, CAMBS, ENGLAND</t>
  </si>
  <si>
    <t>1463-9076</t>
  </si>
  <si>
    <t>PHYS CHEM CHEM PHYS</t>
  </si>
  <si>
    <t>Phys. Chem. Chem. Phys.</t>
  </si>
  <si>
    <t>OCT 1</t>
  </si>
  <si>
    <t>10.1039/b308422c</t>
  </si>
  <si>
    <t>Chemistry, Physical; Physics, Atomic, Molecular &amp; Chemical</t>
  </si>
  <si>
    <t>Chemistry; Physics</t>
  </si>
  <si>
    <t>736LY</t>
  </si>
  <si>
    <t>WOS:000186173300015</t>
  </si>
  <si>
    <t>Barrera-Oro, E</t>
  </si>
  <si>
    <t>Analysis of dietary overlap in Antarctic fish (Notothenioidei) from the South Shetland Islands: no evidence of food competition</t>
  </si>
  <si>
    <t>POLAR BIOLOGY</t>
  </si>
  <si>
    <t>FEEDING ECOLOGY; ELEPHANT ISLAND; POTTER COVE; ROSS SEA; BAY; BIOLOGY; MARINE; PISCES; FAUNA</t>
  </si>
  <si>
    <t>A dietary overlap analysis between notothenioid species was carried out among three fish assemblages in the South Shetland Island area. Using Tyler's (1972) method, the re-occurrence of main and secondary prey among fish predators was 33% in summer and 37% over the year at Potter Cove, 25% in summer and 7% in winter at Admiralty Bay, and 20% in autumn/winter around Elephant Island. Likewise, using the S index of Linton et al. (1981), the diet similarity between most species pairs is &lt;50%. This relatively low dietary overlap may be explained by the about equally divided occurrence of generalised feeders and specialised feeders, with no evidence of competition among them. The fishes' trophic niches seem to be separated by depth and prey taxa. These findings are compared with other Antarctic fish communities and those in similar non-Antarctic cold marine ecosystems.</t>
  </si>
  <si>
    <t>Inst Antartico Argentino, Buenos Aires, DF, Argentina; Museo Argentino Ciencias Nat Bernardino Rivadavia, Div Ictiol, Buenos Aires, DF, Argentina</t>
  </si>
  <si>
    <t>Instituto Antartico Argentino; Museo Argentino de Ciencias Naturales Bernardino Rivadavia (MACN)</t>
  </si>
  <si>
    <t>Barrera-Oro, E (corresponding author), Inst Antartico Argentino, Cerrito 1248,A1010AAZ, Buenos Aires, DF, Argentina.</t>
  </si>
  <si>
    <t>ebarreraoro@dna.gov.ar</t>
  </si>
  <si>
    <t>ONE NEW YORK PLAZA, SUITE 4600, NEW YORK, NY, UNITED STATES</t>
  </si>
  <si>
    <t>0722-4060</t>
  </si>
  <si>
    <t>1432-2056</t>
  </si>
  <si>
    <t>POLAR BIOL</t>
  </si>
  <si>
    <t>Polar Biol.</t>
  </si>
  <si>
    <t>10.1007/s00300-003-0520-1</t>
  </si>
  <si>
    <t>Biodiversity Conservation; Ecology</t>
  </si>
  <si>
    <t>Biodiversity &amp; Conservation; Environmental Sciences &amp; Ecology</t>
  </si>
  <si>
    <t>732AB</t>
  </si>
  <si>
    <t>WOS:000185917700001</t>
  </si>
  <si>
    <t>Arata, J; Xavier, JC</t>
  </si>
  <si>
    <t>The diet of black-browed albatrosses at the Diego Ramirez Islands, Chile</t>
  </si>
  <si>
    <t>DIOMEDEA-MELANOPHRIS; CEPHALOPOD PREY; SOUTH-GEORGIA; SYMPATRIC ALBATROSSES; FALKLAND-ISLANDS; FEEDING ECOLOGY; CHRYSOSTOMA; KERGUELEN; TRAWLERS; DISCARDS</t>
  </si>
  <si>
    <t>The diet of black-browed albatrosses was studied at Gonzalo Island, Diego Ramirez, Chile, during the early chick-rearing periods of 2000, 2001, and 2002. Diet composition was determined by sampling chick-stomach contents during January and February of each year. Reconstituted meal mass was similar throughout the study, with diet being dominated by fish in all 3 years. Overall, the main items taken were the fishes Macruronus magellanicus (66-89% by mass) and Micromesistius australis (2.6-3.7% by mass), which are both fisheries-related species, and the squid Martialia hyadesi (8-20% by mass). The distribution of the prey species indicates that black-browed albatrosses obtained the bulk of their food over the South American continental shelf, but also foraged at the Antarctic Polar Front. The prevalence in the diet of fish species discarded from fishing operations, and the presence of fish hooks and fish bait species, indicate a strong association with fisheries in southern Chile.</t>
  </si>
  <si>
    <t>Univ Austral Chile, Inst Ecol &amp; Evoluc, Valdivia, Chile; British Antarctic Survey, NERC, Cambridge CB3 0ET, England</t>
  </si>
  <si>
    <t>Universidad Austral de Chile; UK Research &amp; Innovation (UKRI); Natural Environment Research Council (NERC); NERC British Antarctic Survey</t>
  </si>
  <si>
    <t>Arata, J (corresponding author), Univ Austral Chile, Inst Ecol &amp; Evoluc, Campus Isla Teja,Casilla 567, Valdivia, Chile.</t>
  </si>
  <si>
    <t>Arata, Javier/U-9754-2017; Xavier, José/KFB-6739-2024; Arata, Javier A./ABH-9557-2020</t>
  </si>
  <si>
    <t>Arata, Javier/0000-0001-7320-0511; /0000-0002-9621-6660</t>
  </si>
  <si>
    <t>SPRINGER-VERLAG</t>
  </si>
  <si>
    <t>175 FIFTH AVE, NEW YORK, NY 10010 USA</t>
  </si>
  <si>
    <t>10.1007/s00300-003-0530-z</t>
  </si>
  <si>
    <t>WOS:000185917700002</t>
  </si>
  <si>
    <t>Southwell, C; Kerry, K; Ensor, P; Woehler, EJ; Rogers, T</t>
  </si>
  <si>
    <t>The timing of pupping by pack-ice seals in East Antarctica</t>
  </si>
  <si>
    <t>LEPTONYCHOTES-WEDDELLI; LOBODON-CARCINOPHAGUS; DIET</t>
  </si>
  <si>
    <t>Data on the timing of pupping by the three species of phocid that breed on the Antarctic pack-ice (crabeater, Ross and leopard seals) are limited. Better information would improve our understanding of these species' population and reproductive ecologies, and could facilitate planning and design of population surveys. Observations of the presence or absence of pups with adults during numerous voyages of the Australian National Antarctic Research Expeditions to East Antarctica during spring and early summer months are analysed and presented. The earliest sighting in any year of a crabeater pup accompanied by an adult was on 2 October and the latest sighting on 15 December. The ratio of crabeater pups to adults increased rapidly during the 10-day period 16-25 October, implying a pulse of births over this time. Ross seal pups with an accompanying adult were sighted between 24 October and 22 November, with a peak in the pup-adult ratio occurring in the period 6-15 November. Leopard seal pups were sighted between 8 November and 25 December, with the pup-adult ratio relatively constant during this period. The data provide circumstantial evidence that the maximum durations of lactation reported in the literature for the three species may be over-estimates. If lactation is shorter than reported, asynchrony in the timing of pupping, either among or within years, is implied.</t>
  </si>
  <si>
    <t>Australian Antarctic Div, Kingston, Tas 7050, Australia; Governors Bay, Lyttelton, New Zealand; Australian Marine Mammal Res Ctr, Mosman, NSW 2088, Australia</t>
  </si>
  <si>
    <t>Australian Antarctic Division</t>
  </si>
  <si>
    <t>Southwell, C (corresponding author), Australian Antarctic Div, Channel Highway, Kingston, Tas 7050, Australia.</t>
  </si>
  <si>
    <t>Rogers, Tracey L/C-3419-2008</t>
  </si>
  <si>
    <t>Rogers, Tracey/0000-0002-7141-4177; Woehler, Eric/0000-0002-1125-0748</t>
  </si>
  <si>
    <t>10.1007/s00300-003-0534-8</t>
  </si>
  <si>
    <t>WOS:000185917700003</t>
  </si>
  <si>
    <t>Van der Molen, S; Matallanas, J</t>
  </si>
  <si>
    <t>Oocyte development and maturity classification of Gerlachea australis from the Weddell Sea, Antarctica</t>
  </si>
  <si>
    <t>FISH; REPRODUCTION; TELEOSTS; GROWTH</t>
  </si>
  <si>
    <t>Gonad structure and oogenesis were studied in the bathydraconiid species Gerlachea australis, in order to determine whether reproduction represents any meaningful adaptation feature in this Antarctic species. All studied specimens came from Halley Bay, Weddell Sea. This species shows a cystovarian-type ovary, and the oocytes' developmental dynamics allow classification as a group synchronic ovary. The different events of oogenesis were grouped into seven stages, each one showing distinctive features. After the analyses of the frequency distributions of the oocytes in the different stages, three ovarian maturing stages were characterised. Spawning probably takes place during the austral summer and the eggs are released during a short period. The features of oogenesis and ovarian maturation in G. australis are similar to those described for other teleosts.</t>
  </si>
  <si>
    <t>Univ Autonoma Barcelona, Fac Ciencias, Unidad Zool, E-08193 Barcelona, Spain</t>
  </si>
  <si>
    <t>University of Barcelona; Autonomous University of Barcelona</t>
  </si>
  <si>
    <t>Van der Molen, S (corresponding author), Univ Autonoma Barcelona, Fac Ciencias, Unidad Zool, E-08193 Barcelona, Spain.</t>
  </si>
  <si>
    <t>10.1007/s00300-003-0542-8</t>
  </si>
  <si>
    <t>WOS:000185917700004</t>
  </si>
  <si>
    <t>Kattner, G; Albers, C; Graeve, M; Schnack-Schiel, SB</t>
  </si>
  <si>
    <t>Fatty acid and alcohol composition of the small polar copepods, Oithona and Oncaea:: indication on feeding modes</t>
  </si>
  <si>
    <t>EASTERN WEDDELL SEA; MIDWATER FOOD WEB; WAX ESTERS; ANTARCTIC COPEPODS; LIPID-COMPOSITION; EUCHAETA-ANTARCTICA; CALANUS-PROPINQUUS; CALANOIDES-ACUTUS; SOUTH-GEORGIA; ICE-ZONE</t>
  </si>
  <si>
    <t>The fatty acid and alcohol compositions of the Antarctic copepods Oithona similis, Oncaea curvata, Oncaea antarctica and the Arctic Oncaea borealis were determined to provide the first data on their lipid biochemistry and to expand the present knowledge on their feeding modes and life-cycle strategies. All these tiny species contained high amounts of wax esters (on average 51.4-86.3% of total lipid), except females of Oithona similis (15.2%). The fatty-acid composition was clearly dominated by 18:1(n-9), especially in the wax-ester-rich Oncaea curvata (79.7% of total fatty acids). In all species, 16:0 and the polyunsaturated fatty acids 20:5(n-3) and 22:6(n-3), which are structural components of all membranes, occurred in significant proportions. The dominant fatty alcohols were 14:0 and 16:0. In Oncaea antarctica and Oncaea borealis, the 20:1(n-9) and 22:1(n-11) alcohols and, to a lesser extent, the corresponding fatty acids were also found in high proportions. This indicates carnivorous feeding, although de novo biosynthesis cannot be excluded. The variable composition might be due to a wider range of food items and parasitic feeding. Typical trophic marker fatty acids for phytoplankton ingestion occurred only in small amounts, which suggests that the species were feeding on particles such as detritus or aggregates and not on living phytoplankton. From the compositional data of fatty acids and alcohols, it can be concluded that feeding behaviour of all species is omnivorous and/or carnivorous.</t>
  </si>
  <si>
    <t>Alfred Wegener Inst Polar &amp; Marine Res, D-27515 Bremerhaven, Germany</t>
  </si>
  <si>
    <t>Helmholtz Association; Alfred Wegener Institute, Helmholtz Centre for Polar &amp; Marine Research</t>
  </si>
  <si>
    <t>Kattner, G (corresponding author), Alfred Wegener Inst Polar &amp; Marine Res, Postfach 12 01 62, D-27515 Bremerhaven, Germany.</t>
  </si>
  <si>
    <t>Graeve, Martin/B-5751-2017</t>
  </si>
  <si>
    <t>Graeve, Martin/0000-0002-2294-1915</t>
  </si>
  <si>
    <t>10.1007/s00300-003-0540-x</t>
  </si>
  <si>
    <t>WOS:000185917700006</t>
  </si>
  <si>
    <t>Siegel, V; Ross, RM; Quetin, LB</t>
  </si>
  <si>
    <t>Krill (Euphausia superba) recruitment indices from the western Antarctic Peninsula:: are they representative of larger regions?</t>
  </si>
  <si>
    <t>POPULATION-STRUCTURE; WEDDELL SEA; VARIABILITY; ABUNDANCE; BIOMASS; SUMMER; DANA; ICE</t>
  </si>
  <si>
    <t>This study presents data on krill demography west of the Antarctic Peninsula covering many years since 1982. The recruitment indices are compared with those for other mesoscale study regions collected over the last 25 years. We use these data to investigate whether results from such mesoscale surveys are representative of large-scale stocks or regional populations. Generally, the proportional recruitment indices for 1- (R-1) and 2-year-old (R-2) krill differ substantially between years for a given area. However, indices were in conformity with the results from other regional scientific surveys. Recruitment indices showed a significant correlation for age-class 1 krill between scientific surveys from the northern Bellingshausen Sea, the Elephant Island area and South Georgia. The correlation becomes weaker for R-2 recruitment indices. There was no correlation between krill recruitment indices from Atlantic and Indian Ocean survey sites. Problems of single-year outliers from Elephant Island are discussed, as well as the problem of 'undersized' length classes of the age-1 group that occur in the samples of some years.</t>
  </si>
  <si>
    <t>Sea Fisheries Res Inst, D-22767 Hamburg, Germany; Univ Calif Santa Barbara, Inst Marine Sci, Santa Barbara, CA 93106 USA</t>
  </si>
  <si>
    <t>University of California System; University of California Santa Barbara</t>
  </si>
  <si>
    <t>Siegel, V (corresponding author), Sea Fisheries Res Inst, Palmaille 9, D-22767 Hamburg, Germany.</t>
  </si>
  <si>
    <t>10.1007/s00300-003-0537-5</t>
  </si>
  <si>
    <t>WOS:000185917700007</t>
  </si>
  <si>
    <t>Sures, B; Reimann, N</t>
  </si>
  <si>
    <t>Analysis of trace metals in the Antarctic host-parasite system Notothenia coriiceps and Aspersentis megarhynchus (Acanthocephala) caught at King George Island, South Shetland Islands</t>
  </si>
  <si>
    <t>POMPHORHYNCHUS-LAEVIS PALAEACANTHOCEPHALA; MUSSEL DREISSENA-POLYMORPHA; CHUB LEUCISCUS-CEPHALUS; ZEBRA MUSSEL; POLYCHLORINATED-BIPHENYLS; LATERNULA-ELLIPTICA; LEAD ACCUMULATION; DIFFERENT TISSUES; CADMIUM; FISH</t>
  </si>
  <si>
    <t>Concentrations of the elements Al, Ag, As, Ba, Cd, Co, Cr, Cu, Fe, Mg, Mn, Ni, Pb and Sr were analysed by high-performance quadrupole inductively coupled plasma mass spectrometry (Q-ICP-MS) in the acanthocephalan Aspersentis megarhynchus and in different tissues of its final host, Notothenia coriiceps. Infected fish were sampled at King George Island, South Shetland Islands, Antarctica. Most of the elements were found at significantly higher concentrations in the acanthocephalan than in muscle, liver and intestine of its host. Only Fe was concentrated in fish liver to a significantly higher level than in the parasite. Compared with the host tissues, the highest accumulation rates in A. megarhynchus were found for Pb, Cd, Ag, Ni and Cu. The acanthocephalans showed very high Ag and Pb levels, whereas the concentrations in the fish tissues were close to the detection limit. This study is the first proof that the enormous heavy-metal accumulation capacity reported for acanthocephalans from freshwater fish also occurs in acanthocephalans parasitizing marine fish. Consequently, acanthocephalans can be used to assess the occurrence and availability of even the lowest metal concentrations in all kinds of aquatic habitats, including remote areas such as the Antarctic.</t>
  </si>
  <si>
    <t>Univ Karlsruhe, Zool Inst Okol Parasitol, D-76128 Karlsruhe, Germany; Univ Kiel, Leibniz Inst Pdag Nat Wissensch, D-24098 Kiel, Germany</t>
  </si>
  <si>
    <t>Helmholtz Association; Karlsruhe Institute of Technology; University of Kiel</t>
  </si>
  <si>
    <t>Univ Karlsruhe, Zool Inst Okol Parasitol, Kaiserstr 13,Geb 07-01, D-76128 Karlsruhe, Germany.</t>
  </si>
  <si>
    <t>dc11@rz.uni-karlsruhe.de</t>
  </si>
  <si>
    <t>Sures, Bernd/B-6652-2013</t>
  </si>
  <si>
    <t>Sures, Bernd/0000-0001-6865-6186</t>
  </si>
  <si>
    <t>10.1007/s00300-003-0538-4</t>
  </si>
  <si>
    <t>WOS:000185917700008</t>
  </si>
  <si>
    <t>Arata, J; Robertson, G; Valencia, J; Lawton, K</t>
  </si>
  <si>
    <t>The Evangelistas Islets, Chile: a new breeding site for black-browed albatrosses</t>
  </si>
  <si>
    <t>A previously undescribed population of black-browed albatrosses (Thalassarche melanophrys) is reported at the Evangelistas Islets, Straits of Magellan, Chile. The population was censused from aerial photographs taken on 13 October 2002 that yielded an estimate of the number of breeding pairs. A combined total of 4,670 pairs of black-browed albatrosses were found nesting at Elcano and Lobos Islets, 2 of the 4 islets in the Evangelistas group. This new record raises to four the number of breeding islands of this albatross species in Chile.</t>
  </si>
  <si>
    <t>Univ Austral Chile, Inst Ecol &amp; Evoluc, Valdivia, Chile; Australian Antarctic Div, Kingston, Tas 7050, Australia; Inst Antartico Chileno, Santiago, Chile</t>
  </si>
  <si>
    <t>Universidad Austral de Chile; Australian Antarctic Division</t>
  </si>
  <si>
    <t>Arata, J (corresponding author), Univ Austral Chile, Inst Ecol &amp; Evoluc, Casilla 567, Valdivia, Chile.</t>
  </si>
  <si>
    <t>javierarata@entelchile.net</t>
  </si>
  <si>
    <t>Arata, Javier/U-9754-2017; Valencia, Jose/IAO-2562-2023; Arata, Javier A./ABH-9557-2020</t>
  </si>
  <si>
    <t>Arata, Javier/0000-0001-7320-0511;</t>
  </si>
  <si>
    <t>10.1007/s00300-003-0536-6</t>
  </si>
  <si>
    <t>WOS:000185917700009</t>
  </si>
  <si>
    <t>Patel, RP; Singh, RP; Singh, AK; Gwal, AK; Hamar, D</t>
  </si>
  <si>
    <t>Observation of very low frequency emissions at Indian Antarctic station, Maitri</t>
  </si>
  <si>
    <t>PRAMANA-JOURNAL OF PHYSICS</t>
  </si>
  <si>
    <t>very low frequency emissions; magnetospheric lines; whistler mode propagation; wave particle interaction</t>
  </si>
  <si>
    <t>VLF LINE RADIATION; EARTHS MAGNETOSPHERE; PLASMASPHERIC HISS; ELF/VLF EMISSIONS; CHORUS EMISSIONS; LOW-LATITUDE; GENERATION; WHISTLERS; SATELLITE; VARANASI</t>
  </si>
  <si>
    <t>Recently, we have succeeded in recording VLF emissions at the Indian Antarctic station, Maitri (geom. lat. 62degreesS, geom. long. 57.23degreesE, L = 4.5) using a T-type antenna, pre/main amplifiers and digital audio tape recorder. VLF hiss in the frequency ranges 11-13 kHz and 13-14.5 kHz and some riser-type emissions in the frequency range 3-5 kHz and magnetospheric lines at about 6.2, 8.0 and 9.2 kHz are reported for the first time. The generation and propagation mechanism of these emissions are discussed briefly.</t>
  </si>
  <si>
    <t>Banaras Hindu Univ, Dept Phys, Atmosphere Res Lab, Varanasi 221005, Uttar Pradesh, India; Barkatullah Univ, Dept Phys, Space Plasma Lab, Bhopal 462026, India; Eotvos Lorand Univ, Dept Geophys, Budapest, Hungary</t>
  </si>
  <si>
    <t>Banaras Hindu University (BHU); Barkatullah University; Eotvos Lorand University</t>
  </si>
  <si>
    <t>Banaras Hindu Univ, Dept Phys, Atmosphere Res Lab, Varanasi 221005, Uttar Pradesh, India.</t>
  </si>
  <si>
    <t>rampal@banaras.ernet.in</t>
  </si>
  <si>
    <t>Singh, Prof. Ashok Kumar/0000-0003-0269-8978</t>
  </si>
  <si>
    <t>INDIAN ACAD SCIENCES</t>
  </si>
  <si>
    <t>BANGALORE</t>
  </si>
  <si>
    <t>C V RAMAN AVENUE, SADASHIVANAGAR, P B #8005, BANGALORE 560 080, INDIA</t>
  </si>
  <si>
    <t>0304-4289</t>
  </si>
  <si>
    <t>0973-7111</t>
  </si>
  <si>
    <t>PRAMANA-J PHYS</t>
  </si>
  <si>
    <t>Pramana-J. Phys.</t>
  </si>
  <si>
    <t>10.1007/BF02706127</t>
  </si>
  <si>
    <t>Physics, Multidisciplinary</t>
  </si>
  <si>
    <t>Physics</t>
  </si>
  <si>
    <t>737ZN</t>
  </si>
  <si>
    <t>WOS:000186262400016</t>
  </si>
  <si>
    <t>Moustaoui, M; Teitelbaum, H; Valero, FPJ</t>
  </si>
  <si>
    <t>Ozone laminae inside the Antarctic vortex produced by poleward filaments</t>
  </si>
  <si>
    <t>QUARTERLY JOURNAL OF THE ROYAL METEOROLOGICAL SOCIETY</t>
  </si>
  <si>
    <t>isentropic uplift; ozone hole; wave breaking</t>
  </si>
  <si>
    <t>ROSSBY-WAVE BREAKING; STRATOSPHERIC ARCTIC VORTEX; POTENTIAL VORTICITY MAPS; POLAR VORTEX; CONTOUR ADVECTION; PLANETARY-WAVES; SURGERY; MODEL; TRANSPORT; DYNAMICS</t>
  </si>
  <si>
    <t>Ozone soundings made inside the Antarctic ozone hole exhibit localized ozone increases within thin layers in the lower stratosphere. These structures, called laminae, are explained as poleward filaments emerging from the vortex edge and transporting relatively ozone-rich air into levels above the geographical site where the sounding equipment has been launched. It is shown that the interior of the Antarctic vortex is not completely isolated with respect to the poleward air mixing. Filament development follows the occurrence of inward breaking near the vortex edge in a region where isentropes are locally uplifted. It is shown that the circulation associated with such uplift may produce the poleward breaking. The role of that circulation is supported by simple barotropic simulations where development of a poleward filament is reproduced in a realistic circular undisturbed vortex.</t>
  </si>
  <si>
    <t>Univ Calif San Diego, Scripps Inst Oceanog, Ctr Atmospher Sci, La Jolla, CA 92093 USA; Ecole Normale Super, Meteorol Dynam Lab, F-75231 Paris, France</t>
  </si>
  <si>
    <t>University of California System; University of California San Diego; Scripps Institution of Oceanography; Universite PSL; Ecole Normale Superieure (ENS); Sorbonne Universite</t>
  </si>
  <si>
    <t>Moustaoui, M (corresponding author), Univ Calif San Diego, Scripps Inst Oceanog, Ctr Atmospher Sci, 9500 Gilman Dr,MC 0242, La Jolla, CA 92093 USA.</t>
  </si>
  <si>
    <t>ROYAL METEOROLOGICAL SOC</t>
  </si>
  <si>
    <t>READING</t>
  </si>
  <si>
    <t>104 OXFORD ROAD, READING RG1 7LJ, BERKS, ENGLAND</t>
  </si>
  <si>
    <t>0035-9009</t>
  </si>
  <si>
    <t>Q J ROY METEOR SOC</t>
  </si>
  <si>
    <t>Q. J. R. Meteorol. Soc.</t>
  </si>
  <si>
    <t>A</t>
  </si>
  <si>
    <t>10.1256/qj.03.19</t>
  </si>
  <si>
    <t>741EH</t>
  </si>
  <si>
    <t>WOS:000186445400014</t>
  </si>
  <si>
    <t>Teetz, HW; Harms, TM; von Backström, TW</t>
  </si>
  <si>
    <t>Assessment of the wind power potential at SANAE IV base, Antarctica:: a technical and economic feasibility study</t>
  </si>
  <si>
    <t>RENEWABLE ENERGY</t>
  </si>
  <si>
    <t>wind turbine; wind power; Antarctica; economic analysis; technical analysis</t>
  </si>
  <si>
    <t>This paper presents a study for the utilization of wind energy at the South African research station, SANAE IV, in Antarctica (71degrees40' S 2degrees 50' W). A procedure to evaluate the feasibility of utilising wind power for Antarctic stations is given. The analysis is based on the technical and economic aspects of installing and operating a wind turbine at remote locations. Special attention has been given to conditions encountered at Antarctica, like site accessibility, low temperatures, icing and snow, long transportation distances and environmental issues. The aspect of externalities is incorporated into the economic analysis. The Northern Power Systems NW100/19 wind turbine is found to be the best-suited wind turbine for use at SANAE IV, given the harsh climatic conditions, like frequent windstorms and extreme temperatures. The wind turbine features a yearly energy output of 430 MWh with a capacity factor of 0.49, at a mean wind speed of 10.8 m/s. The study shows that a wind turbine installation at SANAE IV is an attractive solution to reduce fuel consumption and therefore emissions of the diesel electric generators considerably. The use of a wind turbine at SANAE IV could lead to a savings in externalities of about R 110 000, -per annum. (C) 2003 Elsevier Science Ltd. All rights reserved.</t>
  </si>
  <si>
    <t>Univ Stellenbosch, Dept Mech Engn, ZA-7602 Matieland, South Africa</t>
  </si>
  <si>
    <t>Stellenbosch University</t>
  </si>
  <si>
    <t>Teetz, HW (corresponding author), Univ Stellenbosch, Dept Mech Engn, Private Bag XI, ZA-7602 Matieland, South Africa.</t>
  </si>
  <si>
    <t>von Backstrom, Theodor/0000-0003-2580-3128</t>
  </si>
  <si>
    <t>0960-1481</t>
  </si>
  <si>
    <t>RENEW ENERG</t>
  </si>
  <si>
    <t>Renew. Energy</t>
  </si>
  <si>
    <t>10.1016/S0960-1481(03)00076-4</t>
  </si>
  <si>
    <t>Green &amp; Sustainable Science &amp; Technology; Energy &amp; Fuels</t>
  </si>
  <si>
    <t>Science &amp; Technology - Other Topics; Energy &amp; Fuels</t>
  </si>
  <si>
    <t>689EG</t>
  </si>
  <si>
    <t>WOS:000183478200004</t>
  </si>
  <si>
    <t>Dobrzyn, P; Tatur, A</t>
  </si>
  <si>
    <t>Algal pigments in fast ice and under-ice water in an Arctic fjord</t>
  </si>
  <si>
    <t>SARSIA</t>
  </si>
  <si>
    <t>Arctic; fast ice; pigments; particulate matter; primary production</t>
  </si>
  <si>
    <t>SPRING PHYTOPLANKTON BLOOM; ANTARCTIC SEA-ICE; PACK ICE; EASTERN ANTARCTICA; BARENTS SEA; BIOMASS; CHLOROPHYLL; LIGHT; DISTRIBUTIONS; MEIOFAUNA</t>
  </si>
  <si>
    <t>Samples of the bottom layer (4 cm) of fast ice and under-ice water were collected in May 1997 from the Adventfjorden (Spitsbergen). Concentrations of particulate organic matter (POM) in the bottom layer of the fast ice and under-ice water were similar (about 5.5 mg 1(-1)). However, the content of POM in total particulate matter (TPM) was significantly higher (p &lt; 0.001) in ice (25%) than in water (16%). Algal biomass expressed as chlorophyll a within ice was 2.97 mug 1(-1) melt ice in comparison with 1.33 mug 1(-1) in under-ice water. Based on algal pigment determination we found that algal communities in the bottom of the fast ice were composed of the following taxonomic groups: diatoms (68.1%), chlorophytes (20.1%), prasinophytes (10.4%) and cryptophytes (1.4%), whereas under-ice water was dominated by diatoms (56.6%), chlorophytes (31.1%) and prasinophytes (12.3%). The ratio of diatoms and chlorophytes to chlorophyll a signal differed significantly between the two environments. Chlorophyllide a was the most abundant degradation product of chlorophyll a.</t>
  </si>
  <si>
    <t>Univ Bialystok, Inst Biol, PL-15950 Bialystok, Poland; Dept Antarctic Biol, PL-02141 Warsaw, Poland</t>
  </si>
  <si>
    <t>University of Bialystok</t>
  </si>
  <si>
    <t>Dobrzyn, P (corresponding author), Univ Bialystok, Inst Biol, Swierkowa 20B, PL-15950 Bialystok, Poland.</t>
  </si>
  <si>
    <t>Dobrzyn, Pawel/R-4076-2016</t>
  </si>
  <si>
    <t>Dobrzyn, Pawel/0000-0002-2433-1897</t>
  </si>
  <si>
    <t>TAYLOR &amp; FRANCIS AS</t>
  </si>
  <si>
    <t>OSLO</t>
  </si>
  <si>
    <t>CORT ADELERSGT 17, PO BOX 2562, SOLLI, 0202 OSLO, NORWAY</t>
  </si>
  <si>
    <t>0036-4827</t>
  </si>
  <si>
    <t>Sarsia</t>
  </si>
  <si>
    <t>10.1080/00364820310002515</t>
  </si>
  <si>
    <t>Ecology; Marine &amp; Freshwater Biology</t>
  </si>
  <si>
    <t>Environmental Sciences &amp; Ecology; Marine &amp; Freshwater Biology</t>
  </si>
  <si>
    <t>733TJ</t>
  </si>
  <si>
    <t>WOS:000186016500004</t>
  </si>
  <si>
    <t>Bruzzone, G; Bono, R; Caccia, M; Veruggio, G</t>
  </si>
  <si>
    <t>Internet-based teleoperation of an ROV in Antarctica - Web surfers can remotely operate ROV immersed in the Antarctic Sea by means of a simple connection to the Internet</t>
  </si>
  <si>
    <t>SEA TECHNOLOGY</t>
  </si>
  <si>
    <t>CNR, ISSIA, Dept Comp, Genoa, Italy; CNR, ISSIA, Marine Robot Dept, Genoa, Italy</t>
  </si>
  <si>
    <t>Consiglio Nazionale delle Ricerche (CNR); Istituto di Studi sui Sistemi Intelligenti per l'Automazione (ISSIA-CNR); Consiglio Nazionale delle Ricerche (CNR); Istituto di Studi sui Sistemi Intelligenti per l'Automazione (ISSIA-CNR)</t>
  </si>
  <si>
    <t>Bruzzone, G (corresponding author), CNR, ISSIA, Dept Comp, Genoa, Italy.</t>
  </si>
  <si>
    <t>Caccia, Massimo/P-6407-2018; Veruggio, Gianmarco/B-9405-2013; Bruzzone, Gabriele/B-5771-2015</t>
  </si>
  <si>
    <t>Bruzzone, Gabriele/0000-0002-9569-1160</t>
  </si>
  <si>
    <t>COMPASS PUBLICATIONS, INC</t>
  </si>
  <si>
    <t>ARLINGTON</t>
  </si>
  <si>
    <t>1501 WILSON BLVD., STE 1001, ARLINGTON, VA 22209-2403 USA</t>
  </si>
  <si>
    <t>0093-3651</t>
  </si>
  <si>
    <t>SEA TECHNOL</t>
  </si>
  <si>
    <t>Sea Technol.</t>
  </si>
  <si>
    <t>+</t>
  </si>
  <si>
    <t>Engineering, Ocean</t>
  </si>
  <si>
    <t>Engineering</t>
  </si>
  <si>
    <t>734MV</t>
  </si>
  <si>
    <t>WOS:000186060600009</t>
  </si>
  <si>
    <t>Ho, JS; Kim, IH; Nagasawa, K; Saruwatari, T</t>
  </si>
  <si>
    <t>Paeonocanthus antarcticensis (Hewitt, 1965):: a rare copepod parasite of bathypelagic fish, Bathylagus antarcticus Gunther, from the Antarctic Ocean</t>
  </si>
  <si>
    <t>ZOOLOGICAL SCIENCE</t>
  </si>
  <si>
    <t>parasitic copepod; Paeonocanthus; deep-sea smelt; Bathylagus; Antarctic Ocean</t>
  </si>
  <si>
    <t>SPHYRIIDAE</t>
  </si>
  <si>
    <t>Paeonocanthus antarcticensis (Hewitt, 1965) is redescribed based on four specimens recovered from a deep-sea smelt, Bathylagus antarcticus Gunther, collected in the Antarctic Ocean (65degreesS, 139degrees 59.6degreesE). Studies on the morphological variations of these four specimens plus comparison with the three documented specimens yielded that the sphyriid reported as P antarcticensis from the goiter blacksmelt, Bathylagus euryops Goode &amp; Bean, taken in the Northwest Atlantic Ocean is a different species. It is renamed Paeonocanthus hogansi n. sp.</t>
  </si>
  <si>
    <t>Calif State Univ Long Beach, Dept Sci Biol, Long Beach, CA 90840 USA; Kangreung Natl Univ, Dept Biol, Kangreung 210, Kangwon, South Korea; Natl Res Inst Aquaculture, Nikko Branch, Nikko, Tochigi 3211661, Japan; Univ Tokyo, Ocean Res Inst, Dept Marine Biol Resources, Tokyo 1648639, Japan</t>
  </si>
  <si>
    <t>California State University System; California State University Long Beach; Japan Fisheries Research &amp; Education Agency (FRA); University of Tokyo</t>
  </si>
  <si>
    <t>Calif State Univ Long Beach, Dept Sci Biol, Long Beach, CA 90840 USA.</t>
  </si>
  <si>
    <t>jsho@csulb.edu</t>
  </si>
  <si>
    <t>Nagasawa, Kazuya/0000-0002-6492-1656</t>
  </si>
  <si>
    <t>ZOOLOGICAL SOC JAPAN</t>
  </si>
  <si>
    <t>TOKYO</t>
  </si>
  <si>
    <t>HONGO MT BUILDING 4F, HONGO 7-2-2, BUNKYO-KU, TOKYO, 113-0033, JAPAN</t>
  </si>
  <si>
    <t>0289-0003</t>
  </si>
  <si>
    <t>ZOOL SCI</t>
  </si>
  <si>
    <t>Zool. Sci.</t>
  </si>
  <si>
    <t>10.2108/zsj.20.1315</t>
  </si>
  <si>
    <t>749TU</t>
  </si>
  <si>
    <t>WOS:000186945600014</t>
  </si>
  <si>
    <t>Cavalieri, DJ; Parkinson, CL; Vinnikov, KY</t>
  </si>
  <si>
    <t>30-Year satellite record reveals contrasting Arctic and Antarctic decadal sea ice variability</t>
  </si>
  <si>
    <t>GEOPHYSICAL RESEARCH LETTERS</t>
  </si>
  <si>
    <t>SOUTHERN-HEMISPHERE; TIME-SERIES; TRENDS; CIRCULATION; EXTENT; COVER; MODULATION</t>
  </si>
  <si>
    <t>[1] A 30-year satellite record of sea ice extents derived mostly from satellite microwave radiometer observations reveals that the Arctic sea ice extent decreased by 0.30 +/- 0.03 x 10 6 km(2)/10 yr from 1972 through 2002, but by 0.36 +/- 0.05 x 10(6) km(2)/10yr from 1979 through 2002, indicating an acceleration of 20% in the rate of decrease. In contrast, the Antarctic sea ice extent decreased dramatically over the period 1973-1977, then gradually increased. Over the full 30-year period, the Antarctic ice extent decreased by 0.15 +/- 0.08 x 10(6) km(2)/10 yr. The trend reversal is attributed to a large positive anomaly in Antarctic sea ice extent in the early 1970's, an anomaly that apparently began in the late 1960's, as observed in early visible and infrared satellite images.</t>
  </si>
  <si>
    <t>NASA, Lab Hydrospher Proc, Goddard Space Flight Ctr, Greenbelt, MD 20771 USA; Univ Maryland, Dept Meteorol, College Pk, MD 20742 USA</t>
  </si>
  <si>
    <t>National Aeronautics &amp; Space Administration (NASA); NASA Goddard Space Flight Center; University System of Maryland; University of Maryland College Park</t>
  </si>
  <si>
    <t>NASA, Lab Hydrospher Proc, Goddard Space Flight Ctr, Greenbelt, MD 20771 USA.</t>
  </si>
  <si>
    <t>Donald.J.Cavalieri@nasa.gov</t>
  </si>
  <si>
    <t>Parkinson, Claire L/E-1747-2012; Vinnikov, Konstantin/IAN-6246-2023; Parkinson, Claire/JAC-7676-2023; Vinnikov, Konstantin Y/F-9348-2010</t>
  </si>
  <si>
    <t>Parkinson, Claire L/0000-0001-6730-4197; Parkinson, Claire/0000-0001-6730-4197;</t>
  </si>
  <si>
    <t>AMER GEOPHYSICAL UNION</t>
  </si>
  <si>
    <t>WASHINGTON</t>
  </si>
  <si>
    <t>2000 FLORIDA AVE NW, WASHINGTON, DC 20009 USA</t>
  </si>
  <si>
    <t>0094-8276</t>
  </si>
  <si>
    <t>1944-8007</t>
  </si>
  <si>
    <t>GEOPHYS RES LETT</t>
  </si>
  <si>
    <t>Geophys. Res. Lett.</t>
  </si>
  <si>
    <t>SEP 30</t>
  </si>
  <si>
    <t>10.1029/2003GL018031</t>
  </si>
  <si>
    <t>Geosciences, Multidisciplinary</t>
  </si>
  <si>
    <t>Geology</t>
  </si>
  <si>
    <t>731MA</t>
  </si>
  <si>
    <t>Green Submitted, Bronze</t>
  </si>
  <si>
    <t>WOS:000185887900005</t>
  </si>
  <si>
    <t>Pellerone, FI; Archer, SK; Behm, CA; Grant, WN; Lacey, MJ; Somerville, AC</t>
  </si>
  <si>
    <t>Trehalose metabolism genes in Caenorhabditis elegans and filarial nematodes</t>
  </si>
  <si>
    <t>INTERNATIONAL JOURNAL FOR PARASITOLOGY</t>
  </si>
  <si>
    <t>Review</t>
  </si>
  <si>
    <t>trehalose; trehalose-6-phosphate synthase; trehalase; RNA interference</t>
  </si>
  <si>
    <t>DOUBLE-STRANDED-RNA; TREHALOSE-6-PHOSPHATE SYNTHASE; SACCHAROMYCES-CEREVISIAE; MOLECULAR-CLONING; DIPETALONEMA-VITEAE; ANTARCTIC NEMATODE; EXPRESSION; PHOSPHATASE; STRESS; CLASSIFICATION</t>
  </si>
  <si>
    <t>The sugar trehalose is claimed to be important in the physiology of nematodes where it may function in sugar transport, energy storage and protection against environmental stresses. In this study we investigated the role of trehalose metabolism in nematodes, using Caenorhabditis elegans as a model, and also identified complementary DNA clones putatively encoding genes involved in trehalose pathways in filarial nematodes. In C. elegans two putative trehalose-6-phosphate synthase (tps) genes encode the enzymes that catalyse trehalose synthesis and five putative trehalase (tre) genes encode enzymes catalysing hydrolysis of the sugar. We showed by RT-PCR or Northern analysis that each of these genes is expressed as mRNA at all stages of the C. elegans life cycle. Database searches and sequencing of expressed sequence tag clones revealed that at least one tps gene and two tre genes are expressed in the filarial nematode Brugia malayi, while one tps gene and at least one tre gene were identified for Onchocerca volvulus. We used the feeding method of RNA interference in C. elegans to knock down temporarily the expression of each of the tps and tre genes. Semiquantitative RT-PCR analysis confirmed that expression of each gene was silenced by RNA interference. We did not observe an obvious phenotype for any of the genes silenced individually but gas-chromatographic analysis showed &gt;90% decline in trehalose levels when both tps genes were targeted simultaneously. This decline in trehalose content did not affect viability or development of the nematodes. (C) 2003 Australian Society for Parasitology Inc. Published by Elsevier Ltd. All rights reserved.</t>
  </si>
  <si>
    <t>Australian Natl Univ, Sch Biochem &amp; Mol Biol, Fac Sci, Canberra, ACT 0200, Australia; CSIRO Entomol, Canberra, ACT 2601, Australia; AgResearch, Wallaceville Anim Res Ctr, Upper Hutt, New Zealand</t>
  </si>
  <si>
    <t>Australian National University; Commonwealth Scientific &amp; Industrial Research Organisation (CSIRO); AgResearch - New Zealand</t>
  </si>
  <si>
    <t>Australian Natl Univ, Sch Biochem &amp; Mol Biol, Fac Sci, GPO Box 4, Canberra, ACT 0200, Australia.</t>
  </si>
  <si>
    <t>carolyn.behm@anu.edu.au</t>
  </si>
  <si>
    <t>Lacey, Michael/W-2381-2019; Grant, Warwick/AAF-5854-2020; Behm, Carolyn A/A-2102-2008</t>
  </si>
  <si>
    <t>Grant, Warwick/0000-0002-1187-5270; Behm, Carolyn A/0000-0002-0603-221X; Archer, Stuart/0000-0003-0450-1243</t>
  </si>
  <si>
    <t>ELSEVIER SCI LTD</t>
  </si>
  <si>
    <t>THE BOULEVARD, LANGFORD LANE, KIDLINGTON, OXFORD OX5 1GB, OXON, ENGLAND</t>
  </si>
  <si>
    <t>0020-7519</t>
  </si>
  <si>
    <t>1879-0135</t>
  </si>
  <si>
    <t>INT J PARASITOL</t>
  </si>
  <si>
    <t>Int. J. Parasit.</t>
  </si>
  <si>
    <t>10.1016/S0020-7519(03)00173-5</t>
  </si>
  <si>
    <t>Parasitology</t>
  </si>
  <si>
    <t>729VZ</t>
  </si>
  <si>
    <t>WOS:000185796900008</t>
  </si>
  <si>
    <t>Koponen, IK; Virkkula, A; Hillamo, R; Kerminen, VM; Kulmala, M</t>
  </si>
  <si>
    <t>Number size distributions and concentrations of the continental summer aerosols in Queen Maud Land, Antarctica</t>
  </si>
  <si>
    <t>JOURNAL OF GEOPHYSICAL RESEARCH-ATMOSPHERES</t>
  </si>
  <si>
    <t>Antarctic aerosols; particle size distributions; ultrafine particles</t>
  </si>
  <si>
    <t>CLOUD CONDENSATION NUCLEI; MARINE BOUNDARY-LAYER; PALMER STATION; SULFATE; SYSTEM; MAWSON</t>
  </si>
  <si>
    <t>[ 1] Total particle number concentrations and particle size distributions in the diameter range 3-800 nm were measured in continental Antarctica during the austral summers 2000 and 2001. Observed total particle number concentrations varied between about 200 and 2000 cm(-3), with on average higher concentrations in marine/coastal air masses than in continental air masses. Concentrations in excess of about 300-400 cm(-3) were attributable to the presence of small (&lt; 20 nm) nucleation mode particles. Measured size distributions were fitted with two to four lognormal modes. All the spectra displayed an accumulation mode peaking at about 70-150 nm and an Aitken mode peaking at about 30-50 nm. The average mean diameter of the accumulation mode was much lower in continental air masses, whereas that of the Aitken mode was almost the same for the two air mass types. A nucleation mode was present in more than a half of the measured spectra, and occasionally two nucleation modes could be identified. Evidence on recent new particle formation with subsequent particle growth up to about 40 nm was observed in marine/coastal air masses only. Our measurements indicate that these recently formed particles contribute significantly to the overall particle budget of the Antarctic boundary layer, and they can be also a source of climatically important Aitken and accumulation mode particles.</t>
  </si>
  <si>
    <t>Univ Helsinki, Dept Phys Sci, FIN-0014 Helsinki, Finland; Finnish Meteorol Inst, FIN-00880 Helsinki, Finland</t>
  </si>
  <si>
    <t>University of Helsinki; Finnish Meteorological Institute</t>
  </si>
  <si>
    <t>Koponen, IK (corresponding author), Univ Helsinki, Dept Phys Sci, POB 64,Gustaf Hallstromin Katu 2, FIN-0014 Helsinki, Finland.</t>
  </si>
  <si>
    <t>ismo.k.koponen@helsinki.fi; aki.virkkula@fmi.fi; risto.hillamo@fmi.fi; veli-matti.kerminen@fmi.fi; markku.kulmala@helsinki.fi</t>
  </si>
  <si>
    <t>Kerminen, Veli-Matti/M-9026-2014; Virkkula, Aki/B-8575-2014; Kulmala, Markku/I-7671-2016</t>
  </si>
  <si>
    <t>Virkkula, Aki/0000-0003-4874-7552; Kulmala, Markku/0000-0003-3464-7825</t>
  </si>
  <si>
    <t>2169-897X</t>
  </si>
  <si>
    <t>J GEOPHYS RES-ATMOS</t>
  </si>
  <si>
    <t>J. Geophys. Res.-Atmos.</t>
  </si>
  <si>
    <t>SEP 26</t>
  </si>
  <si>
    <t>D18</t>
  </si>
  <si>
    <t>10.1029/2003JD003614</t>
  </si>
  <si>
    <t>727GU</t>
  </si>
  <si>
    <t>WOS:000185650900002</t>
  </si>
  <si>
    <t>Bartlett, KB; Sachse, GW; Slate, T; Harward, C; Blake, DR</t>
  </si>
  <si>
    <t>Large-scale distribution of CH4 in the western North Pacific:: Sources and transport from the Asian continent -: art. no. 8807</t>
  </si>
  <si>
    <t>methane; TRACE-P; Pacific Basin</t>
  </si>
  <si>
    <t>ATMOSPHERIC METHANE BUDGET; ANTARCTIC FIRN AIR; PEM-WEST; CARBON-MONOXIDE; TRACE GASES; SPECTROSCOPIC MEASUREMENTS; TROPOSPHERIC METHANE; SEASONAL-VARIATIONS; FEBRUARY-MARCH; SOUTH-ATLANTIC</t>
  </si>
  <si>
    <t>[1] Methane (CH4) mixing ratios in the northern Pacific Basin were sampled from two aircraft during the TRACE- P mission ( Transport and Chemical Evolution over the Pacific) from late February through early April 2001 using a tunable diode laser system. Described in more detail by Jacob et al. [ 2003], the mission was designed to characterize Asian outflow to the Pacific, determine its chemical evolution, and assess changes to the atmosphere resulting from the rapid industrialization and increased energy usage on the Asian continent. The high-resolution, high-precision data set of roughly 13,800 CH4 measurements ranged between 1602 ppbv in stratospherically influenced air and 2149 ppbv in highly polluted air. Overall, CH4 mixing ratios were highly correlated with a variety of other trace gases characteristic of a mix of anthropogenic industrial and combustion sources and were strikingly correlated with ethane (C2H6) in particular. Averages with latitude in the near-surface (0 - 2 km) show that CH4 was elevated well above background levels north of 15 degreesN close to the Asian continent. In the central and eastern Pacific, levels of CH4 were lower as continental inputs were mixed horizontally and vertically during transport. Overall, the correlation between CH4 and other hydrocarbons such as ethane (C2H6), ethyne (C2H2), and propane (C3H8) as well as the urban/industrial tracer perchloroethene (C2Cl4), suggests that for CH4 colocated sources such as landfills, wastewater treatment, and fossil fuel use associated with urban areas dominate regional inputs at this time. Comparisons between measurements made during TRACE- P and those of PEM-West B, flown during roughly the same time of year and under a similar meteorological setting 7 years earlier, suggest that although the TRACE- P CH4 observations are higher, the changes are not significantly greater than the increases seen in background air over this time interval.</t>
  </si>
  <si>
    <t>Univ New Hampshire, Complex Syst Res Ctr, Inst Study Earth Oceans &amp; Space, Durham, NH 03824 USA; Univ Calif Irvine, Dept Chem, Irvine, CA 92697 USA; NASA, Langley Res Ctr, Swales Aerosp, Hampton, VA 23681 USA; NASA, Langley Res Ctr, Sci Applicat Int Corp, Hampton, VA 23681 USA</t>
  </si>
  <si>
    <t>University System Of New Hampshire; University of New Hampshire; University of California System; University of California Irvine; National Aeronautics &amp; Space Administration (NASA); NASA Langley Research Center; National Aeronautics &amp; Space Administration (NASA); NASA Langley Research Center; Science Applications International Corporation (SAIC)</t>
  </si>
  <si>
    <t>Univ New Hampshire, Complex Syst Res Ctr, Inst Study Earth Oceans &amp; Space, Morse Hall, Durham, NH 03824 USA.</t>
  </si>
  <si>
    <t>karen@kaos.sr.unh.edu; g.w.sachse@larc.nasa.gov; t.a.slate@larc.nasa.gov; c.n.harward@larc.nasa.gov; drblake@uci.edu</t>
  </si>
  <si>
    <t>2169-8996</t>
  </si>
  <si>
    <t>SEP 23</t>
  </si>
  <si>
    <t>D20</t>
  </si>
  <si>
    <t>10.1029/2002JD003076</t>
  </si>
  <si>
    <t>727GW</t>
  </si>
  <si>
    <t>WOS:000185651100001</t>
  </si>
  <si>
    <t>Whitehead, JM; Bohaty, SM</t>
  </si>
  <si>
    <t>Pliocene summer sea surface temperature reconstruction using silicoflagellates from Southern Ocean ODP Site 1165</t>
  </si>
  <si>
    <t>PALEOCEANOGRAPHY</t>
  </si>
  <si>
    <t>Pliocene; silicoflagellate; temperature; NADW</t>
  </si>
  <si>
    <t>SORSDAL FORMATION; EAST ANTARCTICA; ATLANTIC-OCEAN; VESTFOLD HILLS; PACIFIC-OCEAN; DEEP-WATER; ICE-SHEET; PRYDZ BAY; DIATOM; CLIMATE</t>
  </si>
  <si>
    <t>[1] In the modern marine environment the silicoflagellate genus Dictyocha is rare, or absent, south of the Antarctic polar front (APF); the genus Distephanus, in contrast, is dominant. In sediments recovered from ODP Site 1165, 1600 km south of the front, however, three intervals where Dictyocha is abundant are interpreted to represent Pliocene warm events. Comparison of our data with Ciesielski and Weaver's [1974] modern core top silicoflagellate relationship with sea surface temperature (SST) indicates that at Site 1165 mean annual SST was approximately 5degreesC at 3.7 Ma (event I), and approximately 4degreesC at 4.3-4.4 Ma (event II) and 4.55-4.8 Ma (event III). Event I represents a 5.5degreesC warming, and events II and III represents a 4.5degreesC warming relative to modern mean annual SST. Dictyocha is absent from other Site 1165 Pliocene intervals, which suggests that cooler SST (&lt; 2 degrees C) prevailed. The warm events detected at Site 1165 may represent times when North Atlantic Deep Water production and ocean heat transport into the Southern Ocean exerted maximum influence.</t>
  </si>
  <si>
    <t>Univ Nebraska, Dept Geosci, Lincoln, NE 68588 USA; Univ Calif Santa Cruz, Dept Earth Sci, Santa Cruz, CA 95064 USA</t>
  </si>
  <si>
    <t>University of Nebraska System; University of Nebraska Lincoln; University of California System; University of California Santa Cruz</t>
  </si>
  <si>
    <t>Univ Nebraska, Dept Geosci, 214 Bessy Hall, Lincoln, NE 68588 USA.</t>
  </si>
  <si>
    <t>jason.whitehead@utas.edu.au; sbohaty@emerald.ucsc.edu</t>
  </si>
  <si>
    <t>0883-8305</t>
  </si>
  <si>
    <t>1944-9186</t>
  </si>
  <si>
    <t>Paleoceanography</t>
  </si>
  <si>
    <t>10.1029/2002PA000829</t>
  </si>
  <si>
    <t>Geosciences, Multidisciplinary; Oceanography; Paleontology</t>
  </si>
  <si>
    <t>Geology; Oceanography; Paleontology</t>
  </si>
  <si>
    <t>727HP</t>
  </si>
  <si>
    <t>Green Published, Bronze</t>
  </si>
  <si>
    <t>WOS:000185652800001</t>
  </si>
  <si>
    <t>Winberry, JP; Anandakrishnan, S</t>
  </si>
  <si>
    <t>Seismicity and neotectonics of West Antarctica</t>
  </si>
  <si>
    <t>MARIE-BYRD-LAND; ICE-STREAM-C; RIFT SYSTEM; EARTHQUAKES; BENEATH; MOTION; EAST</t>
  </si>
  <si>
    <t>[1] Newly discovered earthquakes in West Antarctica provide the first documentation of seismicity in the region. The data presented here indicate that the ice sheet does not suppress seismicity as has been previously proposed. However, the observed earthquake pattern suggests the West Antarctic rift system is no longer actively extending.</t>
  </si>
  <si>
    <t>Penn State Univ, Dept Geosci, University Pk, PA 16802 USA; Penn State Univ, EMS Environm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</si>
  <si>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</si>
  <si>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Winberry, JP (corresponding author), Penn State Univ, Dept Geosci, University Pk, PA 16802 USA.</t>
  </si>
  <si>
    <t>Winberry, Paul/E-5557-2011; Winberry, Paul/HLQ-2673-2023; Anandakrishnan, Sridhar/JCN-5026-2023</t>
  </si>
  <si>
    <t>Winberry, Paul/0000-0003-1205-0745;</t>
  </si>
  <si>
    <t>SEP 19</t>
  </si>
  <si>
    <t>10.1029/2003GL018001</t>
  </si>
  <si>
    <t>724FC</t>
  </si>
  <si>
    <t>WOS:000185476700005</t>
  </si>
  <si>
    <t>Rubin, SI</t>
  </si>
  <si>
    <t>Carbon and nutrient cycling in the upper water column across the Polar Frontal Zone and Antarctic Circumpolar Current along 170°W -: art. no. 1087</t>
  </si>
  <si>
    <t>GLOBAL BIOGEOCHEMICAL CYCLES</t>
  </si>
  <si>
    <t>C/N/P ratios; euphotic zone; phytoplankton; polar front; Southern Ocean</t>
  </si>
  <si>
    <t>CELLULAR CHEMICAL-COMPOSITION; PACIFIC SECTOR; SOUTHERN-OCEAN; ROSS SEA; PRIMARY PRODUCTIVITY; COMMUNITY STRUCTURE; BIOGENIC SILICA; MARINE DIATOMS; AMMONIUM LIMITATION; NITROGEN-FIXATION</t>
  </si>
  <si>
    <t>[1] Seasonal changes of upper water column chemical properties integrate the effects of the physical, chemical, and biological processes that control the export of carbon to the deep ocean. Between October 1997 and March 1998, several hydrographic cruises were undertaken in the southwestern Pacific sector of the Southern Ocean, as part of the U. S. JGOFS program. On these cruises, the partial pressure of carbon dioxide (pCO(2)) and concentration of total carbon dioxide (TCO2) dissolved in seawater were determined in surface waters, along with the nutrient concentrations [nitrate (NO3-), nitrite (NO2-), ammonium (NH4+), phosphate (PO4=), and silicate (Si(OH)(4))]. This interval saw the commencement, culmination, and denouement of phytoplankton blooms, both north and south of the Polar Front (PF). Nutrient utilization, regeneration, and export ratios, and primary production and export, were estimated from seasonal changes in these properties observed in surface waters across the Polar Front. While the biological drawdowns of carbon dioxide and nutrient concentrations in the euphotic zone were greater south of the front, the estimated primary productivity (1.6 - 2.7 mol C/m(2)/yr) and export (1.2 - 1.5 mol C/m(2)/yr) are comparable. The observed C/N/P ratios vary temporally, as a function of the dominant process, and spatially, as a function of the phytoplankton assemblage. South of the PF, the maximum biological utilization ( or new production) C/N/P ratios are 69 +/- 2/10.4 +/- 0.5/1 while post-regeneration biological utilization ( or export) C/ N/ P ratios are 87 +/- 3/ 12.7 +/- 0.5/1. North of the PF the C/ N/ P ratios are similar to the classic Redfield ratios, 100 +/- 5/(14 - 16.5) +/- 0.5/ 1. Silica/(C, N, and P) ratios are also highly variable temporally, reflecting differences between silica and organic nutrient cycling, and the bio-availability iron. Departures from the Redfield ratio'' arise from excess phosphate uptake by diatoms and the preferential regeneration of phosphate. The disparity in nutrient ratios north and south of the PF reflects difference in phytoplankton assemblages. South of the PF there was a greater percentage of diatoms than to the north.</t>
  </si>
  <si>
    <t>Columbia Univ, Lamont Doherty Earth Observ, Palisades, NY USA</t>
  </si>
  <si>
    <t>Columbia University</t>
  </si>
  <si>
    <t>Georgia Inst Technol, Dept Earth &amp; Atmospher Sci, Atlanta, GA 30332 USA.</t>
  </si>
  <si>
    <t>Mason, Stephany/0000-0002-8555-5894</t>
  </si>
  <si>
    <t>0886-6236</t>
  </si>
  <si>
    <t>1944-9224</t>
  </si>
  <si>
    <t>GLOBAL BIOGEOCHEM CY</t>
  </si>
  <si>
    <t>Glob. Biogeochem. Cycle</t>
  </si>
  <si>
    <t>SEP 17</t>
  </si>
  <si>
    <t>10.1029/2002GB001900</t>
  </si>
  <si>
    <t>Environmental Sciences; Geosciences, Multidisciplinary; Meteorology &amp; Atmospheric Sciences</t>
  </si>
  <si>
    <t>Environmental Sciences &amp; Ecology; Geology; Meteorology &amp; Atmospheric Sciences</t>
  </si>
  <si>
    <t>754HT</t>
  </si>
  <si>
    <t>WOS:000187310600001</t>
  </si>
  <si>
    <t>Marko, JR</t>
  </si>
  <si>
    <t>Observations and analyses of an intense waves-in-ice event in the Sea of Okhotsk</t>
  </si>
  <si>
    <t>JOURNAL OF GEOPHYSICAL RESEARCH-OCEANS</t>
  </si>
  <si>
    <t>sea ice; waves; Okhotsk</t>
  </si>
  <si>
    <t>OCEAN WAVES; ZONE; ATTENUATION; PACK</t>
  </si>
  <si>
    <t>[1] Ice draft, ice velocity, ice concentration, and current profile data gathered at an array of eight continental shelf monitoring sites east of Sakhalin Island were analyzed in conjunction with regional meteorological data to document and explain intense wave occurrences several hundred kilometers inside the Sea of Okhotsk ice pack. The studied event was associated with the 19 - 21 March 1998 passage of an intense cyclone, which produced waves with amplitudes in excess of 1 m at the most offshore monitoring location. The relatively monochromatic character of the waves allowed extraction of wave intensity time series from ice draft time series data. Spatial and temporal variations in these data were used to establish directions and speeds of wave energy propagation for comparisons with an earlier interpretation [Liu and Mollo-Christensen, 1988] of an Antarctic intense waves-in-ice event. It was concluded that although both events are compatible with a two-stage process in which initially slowly advancing wave activity increases subsequent ice cover wave transmissivity, the first stage of the Sea of Okhotsk event was not explicable in terms of the static stress-induced changes in the waves-in-ice dispersion relationship proposed by Liu and Mollo-Christensen. An alternative explanation is offered that eschews the linkage between wave group velocities and the observed slow rates of wave energy propagation and attributes the subsequent transition to more normal wave propagation behavior to ice pack divergence.</t>
  </si>
  <si>
    <t>ASL Environm Sci Inc, Sidney, BC V8L 5Y3, Canada</t>
  </si>
  <si>
    <t>ASL Environm Sci Inc, Sidney, BC V8L 5Y3, Canada.</t>
  </si>
  <si>
    <t>jmarko@aslenv.com</t>
  </si>
  <si>
    <t>2169-9275</t>
  </si>
  <si>
    <t>2169-9291</t>
  </si>
  <si>
    <t>J GEOPHYS RES-OCEANS</t>
  </si>
  <si>
    <t>J. Geophys. Res.-Oceans</t>
  </si>
  <si>
    <t>C9</t>
  </si>
  <si>
    <t>10.1029/2001JC001214</t>
  </si>
  <si>
    <t>Oceanography</t>
  </si>
  <si>
    <t>754JC</t>
  </si>
  <si>
    <t>WOS:000187311600001</t>
  </si>
  <si>
    <t>Ridgwell, AJ</t>
  </si>
  <si>
    <t>Implications of the glacial CO2 iron hypothesis for Quaternary climate change -: art. no. 1076</t>
  </si>
  <si>
    <t>GEOCHEMISTRY GEOPHYSICS GEOSYSTEMS</t>
  </si>
  <si>
    <t>feedback; Earth system; CO2; dust; glacial-interglacial; global change : biogeochemical processes; global change : climate dynamics</t>
  </si>
  <si>
    <t>VOSTOK ICE CORE; ATMOSPHERIC CO2; EQUATORIAL PACIFIC; SOUTHERN-OCEAN; DUST; SENSITIVITY; FEEDBACK; CYCLE; INSOLATION; CHEMISTRY</t>
  </si>
  <si>
    <t>[1] The iron hypothesis'' posits a role for increased supply of mineral aerosol to the ocean surface during glacial periods in driving atmospheric CO2 lower; that changes in CO2 and climate strongly affect dust supply raises the possibility of feedback. Here I take a systems view in analyzing the properties and implications of such a feedback and consider three primary state variables that can be related empirically to each other: dust supply, atmospheric CO2, and climate'' ( surface air temperature). The results of this analysis suggest that the dust-CO2- climate feedback is primarily an intraglacial phenomenon, when it can account for about a third of the temperature variability recorded in Antarctic ice cores. Since glacial- interglacial cyclicity prior to ca. 800 kyr BP is characterized by the absence of a  full'' glacial state ( such as the Last Glacial Maximum), it is possible that destabilization of climate by the marine iron cycle is fundamental to the differences between  41 kyr'' and  100 kyr'' climatic regimes. The critical role played by the state of the land surface in this feedback also has implications for the longer- term evolution of the Earth system during the Cenozoic.</t>
  </si>
  <si>
    <t>Univ Calif Riverside, Dept Earth Sci, Riverside, CA 92521 USA; Univ E Anglia, Sch Environm Sci, Norwich NR4 7TJ, Norfolk, England</t>
  </si>
  <si>
    <t>University of California System; University of California Riverside; University of East Anglia</t>
  </si>
  <si>
    <t>Univ Calif Riverside, Dept Earth Sci, Riverside, CA 92521 USA.</t>
  </si>
  <si>
    <t>andyr@citrus.ucr.edu</t>
  </si>
  <si>
    <t>Ridgwell, Andy/AAD-9487-2021</t>
  </si>
  <si>
    <t>Ridgwell, Andy/0000-0003-2333-0128</t>
  </si>
  <si>
    <t>1525-2027</t>
  </si>
  <si>
    <t>GEOCHEM GEOPHY GEOSY</t>
  </si>
  <si>
    <t>Geochem. Geophys. Geosyst.</t>
  </si>
  <si>
    <t>SEP 16</t>
  </si>
  <si>
    <t>10.1029/2003GC000563</t>
  </si>
  <si>
    <t>724EU</t>
  </si>
  <si>
    <t>WOS:000185475900002</t>
  </si>
  <si>
    <t>Jones, AE; Wolff, EW</t>
  </si>
  <si>
    <t>An analysis of the oxidation potential of the South Pole boundary layer and the influence of stratospheric ozone depletion</t>
  </si>
  <si>
    <t>oxidation potential; surface ozone; Antarctica; air/snow interaction; ultraviolet</t>
  </si>
  <si>
    <t>RADIATIVE-TRANSFER MODEL; ANTARCTIC SNOW; PHOTOCHEMICAL PRODUCTION; GREENLAND; ATMOSPHERE; SURFACE; SUMMIT; AIR; OH; CHEMISTRY</t>
  </si>
  <si>
    <t>[1] The summertime atmospheric boundary layer over the South Pole has recently been shown to be highly oxidizing, with greater concentrations of NO and OH than previously expected. The source of NO has been attributed to photolysis of nitrate impurities in the snowpack, with elevated OH from the reaction NO + HO2. However, the Antarctic troposphere is not currently in a natural'' state, being subject nowadays to greatly increased incidences of ultraviolet (UV) radiation each spring. Here we analyze the long-term record of surface ozone at the South Pole ( 1975 - 2001), to look for evidence of a changing oxidation potential. Daily averaged surface ozone concentrations during spring and early summer now regularly exceed the maximum concentration of the previous winter, while in the 1970s and 1980s this was not the case. This suggests that the proposed springtime ozone source is greater nowadays than before. Such a feature is consistent with increases in UV radiation accompanying the springtime stratospheric ozone hole. Model calculations show that the rate of nitrate photolysis in the South Pole snowpack has increased significantly since the onset of the ozone hole, such that production of NO2 in November has increased by 43% between the late 1960s and the late 1990s. It thus appears that the South Pole boundary layer is more highly oxidizing nowadays than under conditions before the onset of the ozone hole.</t>
  </si>
  <si>
    <t>British Antarctic Survey, NERC, Cambridge CB3 0ET, England</t>
  </si>
  <si>
    <t>UK Research &amp; Innovation (UKRI); Natural Environment Research Council (NERC); NERC British Antarctic Survey</t>
  </si>
  <si>
    <t>a.jones@bas.ac.uk; ewwo@bas.ac.uk</t>
  </si>
  <si>
    <t>Wolff, Eric W/D-7925-2014</t>
  </si>
  <si>
    <t>Wolff, Eric W/0000-0002-5914-8531</t>
  </si>
  <si>
    <t>10.1029/2003JD003379</t>
  </si>
  <si>
    <t>724FG</t>
  </si>
  <si>
    <t>WOS:000185477100006</t>
  </si>
  <si>
    <t>Landais, A; Chappellaz, J; Delmotte, M; Jouzel, J; Blunier, T; Bourg, C; Caillon, N; Cherrier, S; Malaizé, B; Masson-Delmotte, V; Raynaud, D; Schwander, J; Steffensen, JP</t>
  </si>
  <si>
    <t>A tentative reconstruction of the last interglacial and glacial inception in Greenland based on new gas measurements in the Greenland Ice Core Project (GRIP) ice core -: art. no. 4563</t>
  </si>
  <si>
    <t>interglacial; ice cap; firn</t>
  </si>
  <si>
    <t>ATMOSPHERIC CH4 GRADIENT; ABRUPT CLIMATE-CHANGE; STRATIGRAPHIC DISTURBANCE; TRAPPED AIR; DELTA O-18; POLAR ICE; ANTARCTICA; VOSTOK; RECORDS; O-2</t>
  </si>
  <si>
    <t>[1] The disturbed stratigraphy of the ice in the lowest 10% of the Greenland GRIP ice core prevents direct access to climatic information older than 110 kyr. This is especially regretful since this period covers the previous interglacial corresponding to marine isotopic stage 5e (MIS 5e, 130 - 120 kyr B. P.). Here we present a tentative reconstruction of the disturbed GRIP chronology based on the succession of globally well mixed gas parameters. The GRIP delta(18)O(ice) chronological sequence is obtained by comparing a new set of delta(18)O of atmospheric O-2 and CH4 measurements from the bottom section of the GRIP core with their counterpart in the Vostok Antarctic profiles. This comparison clearly identifies ice from the penultimate glacial maximum ( MIS 6, 190 - 130 kyr B. P.) in the GRIP core. Further it allows rough reconstruction of the last interglacial period and of the last glacial inception in Greenland which appears to lay its Antarctic counterpart. Our data suggest that while Antarctica is already entering into a glaciation, Greenland is still experiencing a warm maximum during MIS 5e.</t>
  </si>
  <si>
    <t>CEA, CNRS, Lab Sci Climt &amp; Environm, IPSL, F-91191 Gif Sur Yvette, France; CNRS, Lab Glaciol &amp; Geophys Environm, F-38402 St Martin Dheres, France; Univ Bern, Inst Phys, CH-3012 Bern, Switzerland; Univ Copenhagen, Dept Geophys, DK-1017 Copenhagen K, Denmark</t>
  </si>
  <si>
    <t>Universite Paris Cite; CEA; Centre National de la Recherche Scientifique (CNRS); Universite Paris Saclay; Centre National de la Recherche Scientifique (CNRS); University of Bern; University of Copenhagen</t>
  </si>
  <si>
    <t>CEA, CNRS, Lab Sci Climt &amp; Environm, IPSL, F-91191 Gif Sur Yvette, France.</t>
  </si>
  <si>
    <t>landais@lsce.saclay.cea.fr</t>
  </si>
  <si>
    <t>Masson-Delmotte, Valerie L/G-1995-2011; Chappellaz, Jérôme A./A-4872-2011; Raynaud, Dominique/H-9626-2016; raynaud, dominique/ABG-4718-2020; Steffensen, Jorgen Peder/JFS-7831-2023; Caillon, Nicolas/B-7127-2019; Blunier, Thomas/M-4609-2014</t>
  </si>
  <si>
    <t>Masson-Delmotte, Valerie L/0000-0001-8296-381X; Steffensen, Jorgen Peder/0000-0002-5516-1093; Caillon, Nicolas/0000-0002-6318-6194; LANDAIS, Amaelle/0000-0002-5620-5465; Bruno, Malaize/0000-0002-5571-9990; Blunier, Thomas/0000-0002-6065-7747</t>
  </si>
  <si>
    <t>10.1029/2002JD003147</t>
  </si>
  <si>
    <t>WOS:000185477100003</t>
  </si>
  <si>
    <t>Jokat, W; Boebel, T; König, M; Meyer, U</t>
  </si>
  <si>
    <t>Timing and geometry of early Gondwana breakup -: art. no. 2428</t>
  </si>
  <si>
    <t>JOURNAL OF GEOPHYSICAL RESEARCH-SOLID EARTH</t>
  </si>
  <si>
    <t>Antarctica; Aeromagnetik; Gondwana; Mesozoic reconstruction</t>
  </si>
  <si>
    <t>MESOZOIC MAGNETIC-ANOMALIES; WESTERN WEDDELL SEA; TECTONIC IMPLICATIONS; ANTARCTIC PENINSULA; CONTINENTAL MARGINS; SOUTHERNMOST ANDES; PALEOMAGNETIC DATA; NATAL VALLEY; MAUD-LAND; BASIN</t>
  </si>
  <si>
    <t>[1] The Mesozoic opening history of the Southern Ocean between South America, Africa, and Antarctica is one of the largest gaps in knowledge on the evolution of this region. Competing geodynamic models were published during the last two decades to explain the geophysical and geological observations. Here we report on aeromagnetic data collected along the East Antarctic coast during five seasons. These data provide new constraints on the timing and geometry of the early Gondwana breakup. In the Riiser- Larsen Sea/ Mozambique Basin, the first oceanic crust between Africa and Antarctica formed around 155 Ma. In the west the Weddell Rift propagated from west to east with a velocity of 63 km/Myr between chrons M19N and M17N. At chron M14N, South America and Africa finally were split off the Antarctic continent. Stretching in the area of the South Atlantic started at the latest from 155 Myr onward. The different spreading velocities and directions of South America and Africa created at chron M9N the first oceanic crust in the South Atlantic. A new model indicates that the Karoo and Dronning Maud Land magmatism occurred well before any new ocean floor was created and therefore the first formation of new oceanic crust cannot directly be related to a plume interaction.</t>
  </si>
  <si>
    <t>Alfred Wegener Inst Polar Res, D-27568 Bremerhaven, Germany</t>
  </si>
  <si>
    <t>Jokat, W (corresponding author), Alfred Wegener Inst Polar Res, Postfach 12061, D-27568 Bremerhaven, Germany.</t>
  </si>
  <si>
    <t>jokat@awi-bremerhaven.de; umeyer@gfz-potsdam.de</t>
  </si>
  <si>
    <t>Jokat, Wilfried/0000-0002-7793-5854</t>
  </si>
  <si>
    <t>2169-9313</t>
  </si>
  <si>
    <t>2169-9356</t>
  </si>
  <si>
    <t>J GEOPHYS RES-SOL EA</t>
  </si>
  <si>
    <t>J. Geophys. Res.-Solid Earth</t>
  </si>
  <si>
    <t>B9</t>
  </si>
  <si>
    <t>10.1029/2002JB001802</t>
  </si>
  <si>
    <t>724GC</t>
  </si>
  <si>
    <t>WOS:000185479000002</t>
  </si>
  <si>
    <t>Saenko, OA; Weaver, AJ; Gregory, JM</t>
  </si>
  <si>
    <t>On the link between the two modes of the ocean thermohaline circulation and the formation of global-scale water masses</t>
  </si>
  <si>
    <t>FRESH-WATER; GLACIAL CLIMATE; WORLD OCEAN</t>
  </si>
  <si>
    <t>A close link between the formation of global-scale water masses, such as North Atlantic Deep Water (NADW) and Antarctic Intermediate Water (AAIW), and two stable modes of the thermohaline circulation (THC) is investigated in a coupled model. In the upper 2 - 3 km of the Atlantic, the THC modes are characterized by meridional overturning circulations of opposite sign, with either a dominance of the AAIW cell over the NADW cell (off'' THC mode) or vice versa (on'' THC mode). A transition between these THC modes is controlled by the relationship between the densities in the source regions of formation of AAIW and NADW water masses. This is shown by applying a freshwater perturbation in the region of enhanced AAIW formation in the Southern Ocean to obtain a hysteresis loop of the NADW circulation. Transitions between the two modes of the THC occur when the densities in the source regions of AAIW and NADW become comparable to each other.</t>
  </si>
  <si>
    <t>Univ Victoria, Sch Earth &amp; Ocean Sci, Victoria, BC V8W 3P6, Canada; Met Off, Hadley Ctr, Bracknell, Berks, England</t>
  </si>
  <si>
    <t>University of Victoria; Met Office - UK; Hadley Centre</t>
  </si>
  <si>
    <t>Univ Victoria, Sch Earth &amp; Ocean Sci, POB 3055, Victoria, BC V8W 3P6, Canada.</t>
  </si>
  <si>
    <t>oleg@ocean.seos.uvic.ca</t>
  </si>
  <si>
    <t>Gregory, Jonathan/J-2939-2016; Weaver, Andrew J/E-7590-2011</t>
  </si>
  <si>
    <t>Gregory, Jonathan/0000-0003-1296-8644; Weaver, Andrew J/0000-0001-8919-3598</t>
  </si>
  <si>
    <t>45 BEACON ST, BOSTON, MA 02108-3693, UNITED STATES</t>
  </si>
  <si>
    <t>1520-0442</t>
  </si>
  <si>
    <t>SEP 15</t>
  </si>
  <si>
    <t>10.1175/1520-0442(2003)016&lt;2797:OTLBTT&gt;2.0.CO;2</t>
  </si>
  <si>
    <t>715KA</t>
  </si>
  <si>
    <t>hybrid</t>
  </si>
  <si>
    <t>WOS:000184969600001</t>
  </si>
  <si>
    <t>Fyfe, JC</t>
  </si>
  <si>
    <t>Extratropical southern hemisphere cyclones: Harbingers of climate change?</t>
  </si>
  <si>
    <t>REANALYSIS; CIRCULATION; BEHAVIOR; TRENDS</t>
  </si>
  <si>
    <t>In concert with a poleward shift in baroclinicity, the synoptic environment south of 40degreesS appears to have changed significantly over recent decades. South of 40degreesS and north of the Antarctic Ocean the number of cyclones has dramatically decreased, while over the Antarctic Ocean a modest increase has occurred. A global climate model with anthropogenic forcing produces similar historical changes, and under a business-as-usual'' emissions scenario predicts that the number of sub-Antarctic Ocean cyclones will drop by over 30% between now and century's end.</t>
  </si>
  <si>
    <t>Meteorol Serv Canada, Canadian Ctr Climate Modelling &amp; Anal, Victoria, BC, Canada</t>
  </si>
  <si>
    <t>Environment &amp; Climate Change Canada; Meteorological Service of Canada; Canadian Centre for Climate Modelling &amp; Analysis (CCCma)</t>
  </si>
  <si>
    <t>Fyfe, JC (corresponding author), Univ Victoria, Canadian Ctr Climate Modelling &amp; Anal, POB 1700, Victoria, BC V8W 2Y2, Canada.</t>
  </si>
  <si>
    <t>10.1175/1520-0442(2003)016&lt;2802:ESHCHO&gt;2.0.CO;2</t>
  </si>
  <si>
    <t>WOS:000184969600002</t>
  </si>
  <si>
    <t>Florindo, F; Cooper, AK; O'Brien, PE</t>
  </si>
  <si>
    <t>Introduction to 'Antarctic Cenozoic palaeoenvironments: geologic record and models'</t>
  </si>
  <si>
    <t>PALAEOGEOGRAPHY PALAEOCLIMATOLOGY PALAEOECOLOGY</t>
  </si>
  <si>
    <t>Editorial Material</t>
  </si>
  <si>
    <t>SOUTHERN-OCEAN; GLACIATION</t>
  </si>
  <si>
    <t>Ist Nazl Geofis &amp; Vulcanol, I-00143 Rome, Italy; Stanford Univ, Dept Geol &amp; Environm Sci, Stanford, CA 94305 USA; Geosci Australia, Canberra, ACT 2601, Australia</t>
  </si>
  <si>
    <t>Istituto Nazionale Geofisica e Vulcanologia (INGV); Stanford University; Geoscience Australia</t>
  </si>
  <si>
    <t>Ist Nazl Geofis &amp; Vulcanol, Via Vigna Murata 605, I-00143 Rome, Italy.</t>
  </si>
  <si>
    <t>florindo@ingv.it</t>
  </si>
  <si>
    <t>Florindo, Fabio/AAU-2548-2021; Florindo, Fabio/F-4119-2010; Florindo, Fabio/M-1459-2019</t>
  </si>
  <si>
    <t>Florindo, Fabio/0000-0002-6058-9748; Florindo, Fabio/0000-0002-6058-9748; O'Brien, Philip/0000-0003-3446-3292</t>
  </si>
  <si>
    <t>ELSEVIER</t>
  </si>
  <si>
    <t>RADARWEG 29, 1043 NX AMSTERDAM, NETHERLANDS</t>
  </si>
  <si>
    <t>0031-0182</t>
  </si>
  <si>
    <t>1872-616X</t>
  </si>
  <si>
    <t>PALAEOGEOGR PALAEOCL</t>
  </si>
  <si>
    <t>Paleogeogr. Paleoclimatol. Paleoecol.</t>
  </si>
  <si>
    <t>1-2</t>
  </si>
  <si>
    <t>10.1016/S0031-0182(03)00405-X</t>
  </si>
  <si>
    <t>Geography, Physical; Geosciences, Multidisciplinary; Paleontology</t>
  </si>
  <si>
    <t>Physical Geography; Geology; Paleontology</t>
  </si>
  <si>
    <t>723FE</t>
  </si>
  <si>
    <t>WOS:000185421100001</t>
  </si>
  <si>
    <t>Lawver, LA; Gahagan, LM</t>
  </si>
  <si>
    <t>Evolution of Cenozoic seaways in the circum-Antarctic region</t>
  </si>
  <si>
    <t>Symposium on the Geologic Record of the Antarctic Ice Sheet from Drilling, Coring and Seismic Studies</t>
  </si>
  <si>
    <t>SEP, 2001</t>
  </si>
  <si>
    <t>ETTORE MAJORANA CTR SCI CULTURE, ERICE, ITALY</t>
  </si>
  <si>
    <t>ETTORE MAJORANA CTR SCI CULTURE</t>
  </si>
  <si>
    <t>Antarctic seaways; eocene-oligocene boundary; Drake Passage; South Tasman Rise</t>
  </si>
  <si>
    <t>SOUTHERN-OCEAN; SATELLITE ALTIMETRY; TECTONIC EVOLUTION; PLATE MOTIONS; INDIAN-OCEAN; SCOTIA RIDGE; ATLANTIC; AUSTRALIA; PACIFIC; TRANSITION</t>
  </si>
  <si>
    <t>A complete circum-Antarctic seaway did not open until both the South Tasman Rise cleared the Oates Land coast of East Antarctica and Drake Passage opened between the southern tip of South America and the northern end of the Antarctic Peninsula. Major plate motions based on dated seafloor spreading anomalies and distinct fracture zone lineations constrain the age of the opening of a seaway between the South Tasman Rise and Antarctica as very close to the Eocene-Oligocene boundary, with an unrestricted opening deeper than 2000 in dating from similar to 32 Ma. Timing of the opening of Drake Passage is more circumstantial because the exact motions of certain micro-continental fragments are not known. The motion of Africa with respect to South America as well as the motion of East Antarctica with respect to Africa are well constrained for the Cenozoic. These major plate motions are used with the reasonable assumption of no Cenozoic motion of the Antarctic Peninsula with respect to East Antarctica to constrain the location of the Antarctic Peninsula with respect to the southern tip of South America for the critical period of late Eocene to late Oligocene. Uncertainty of motion of the South Georgia and South Orkney microcontinents and other possible continental fragments make an exact time for opening of Drake Passage difficult to ascertain. Even so, the early Oligocene position of the Antarctic Peninsula with respect to South America requires a through-going, deep-water seaway to have been open at Drake Passage prior to 28 Ma, even given the unconstrained motion of various high-standing crustal fragments in the Scotia Sea. With reasonable assumptions concerning motion of the crustal fragments in the western and central Scotia Sea, it is likely that Drake Passage or passage through Powell Basin was open to deep water circulation by similar to 31 +/- 2 Ma. (C) 2003 Elsevier B.V. All rights reserved.</t>
  </si>
  <si>
    <t>Univ Texas, Inst Geophys, Austin, TX 78759 USA</t>
  </si>
  <si>
    <t>University of Texas System; University of Texas Austin</t>
  </si>
  <si>
    <t>Univ Texas, Inst Geophys, 4412 Spicewood Springs Rd 600, Austin, TX 78759 USA.</t>
  </si>
  <si>
    <t>lawver@ig.utexas.edu; plates@ig.utexas.edu</t>
  </si>
  <si>
    <t>Lawver, Lawrence/A-1630-2009</t>
  </si>
  <si>
    <t>10.1016/S0031-0182(03)00392-4</t>
  </si>
  <si>
    <t>WOS:000185421100002</t>
  </si>
  <si>
    <t>DeConto, RM; Pollard, D</t>
  </si>
  <si>
    <t>A coupled climate-ice sheet modeling approach to the Early Cenozoic history of the Antarctic ice sheet</t>
  </si>
  <si>
    <t>Antarctica; ice sheets; oligocene; paleoclimate; Drake Passage</t>
  </si>
  <si>
    <t>SEDIMENTOLOGICAL EVIDENCE; ATMOSPHERIC CO2; STABLE-ISOTOPE; CARBON-DIOXIDE; DRAKE PASSAGE; OCEAN; GLACIATION; CIRCULATION; INSTABILITY</t>
  </si>
  <si>
    <t>The sudden, widespread glaciation of Antarctica and the associated shift toward colder temperatures near the Eocene-Oligocene boundary (similar to 34 Ma) represents one of the most fundamental reorganizations of the global climate system recognized in the geologic record. This glacial inception and the subsequent evolution of the early East Antarctic Ice Sheet (EAIS) are simulated using a new, coupled global climate-dynamical ice sheet model accounting for the paleogeography, greenhouse gas concentrations, changing orbital parameters, and varying ocean heat transport. Suites of long (10(5) yr) climate-ice sheet simulations are used to investigate the effects of declining atmospheric CO2, compared to those of the tectonic opening of Southern Ocean gateways and the timing of mountain uplift in the Antarctic interior. In contrast to the established paradigm for the glaciation of Antarctica, which centers on the opening of the Southern Ocean gateways and the 'thermal isolation' of the continent, our results show that declining Cenozoic pCO(2) may have played the dominant role. First, small isolated ice caps formed on the highest Antarctic plateaus. Then, as a CO2 threshold between 3 X and 2 X pre-industrial level (PAL) was crossed, height-mass balance feedbacks were initiated during orbital periods with cold austral summers, triggering much larger, highly dynamic terrestrial ice sheets. As CO2 continued to decline, these isolated ice caps eventually merged into a permanent continental-scale EAIS. In our model, neither the opening of the Southern Ocean gateways nor mountain uplift significantly affected the timing of the major ice sheet transition, given a scenario of gradually declining CO2 from 4 X to 2 X PAL over 10 million years around the Eocene-Oligocene boundary. (C) 2003 Elsevier B.V. All rights reserved.</t>
  </si>
  <si>
    <t>Univ Massachusetts, Dept Geosci, Amherst, MA 01003 USA; Penn State Univ, EMS Environm Inst, University Pk, PA 16802 USA</t>
  </si>
  <si>
    <t>University of Massachusetts System; University of Massachusetts Amherst; Pennsylvania Commonwealth System of Higher Education (PCSHE); Pennsylvania State University; Pennsylvania State University - University Park</t>
  </si>
  <si>
    <t>Univ Massachusetts, Dept Geosci, Amherst, MA 01003 USA.</t>
  </si>
  <si>
    <t>deconto@geo.umass.edu; pollard@essc.psu.edu</t>
  </si>
  <si>
    <t>10.1016/S0031-0182(03)00393-6</t>
  </si>
  <si>
    <t>WOS:000185421100003</t>
  </si>
  <si>
    <t>Pollard, D; DeConto, RM</t>
  </si>
  <si>
    <t>Antarctic ice and sediment flux in the Oligocene simulated by a climate-ice sheet-sediment model</t>
  </si>
  <si>
    <t>Antarctica; ice sheets; sediment budget; oligocene; paleoclimate</t>
  </si>
  <si>
    <t>LAKE-MICHIGAN LOBE; CENOZOIC GLACIATION; DEFORMING SEDIMENT; BENEATH; TILL; EROSION; OSCILLATIONS; TRANSPORT; ORIGIN; GREENLAND</t>
  </si>
  <si>
    <t>A model of deforming sediment is added to a climate-ice sheet model, and applied to the Eocene-Oligocene transition in Antarctic ice volume around 34 Ma. The Coupling between the global climate and ice sheet models is asynchronous, with a climate simulation performed once every 10000 years, and only for the first 40000 years. These global climate model solutions are re-used to perform runs of 400000 years in length, with orbital forcing and different levels of CO,. The sediment model includes bulk transport Under ice, generation of sub-ice till. and river transport, and predicts the continental-scale evolution of sediment thickness and coastal discharge. For the first few 10000's of years after the onset Of substantial ice (triggered by CO, falling below similar to3 X pre-industrial level), sediment discharge to the ocean is relatively uniform around the coast, derived from nearby pre-existing regolith. After that, most discharge is concentrated into similar to4 sites at the Months of major trough systems, with orbitally paced Pulses Oil 10(4)-yr scales. These sites and the average magnitudes Of the fluxes agree generally with those deduced from offshore seismic and core data, although longer (10 my) integrations Lire needed to model the real sediment evolution. (C) 2003 Elsevier B.V. All rights reserved.</t>
  </si>
  <si>
    <t>Penn State Univ, EMS Environm Inst, University Pk, PA 16802 USA; Univ Massachusetts, Dept Geosci, Amherst, MA 01003 USA</t>
  </si>
  <si>
    <t>Pennsylvania Commonwealth System of Higher Education (PCSHE); Pennsylvania State University; Pennsylvania State University - University Park; University of Massachusetts System; University of Massachusetts Amherst</t>
  </si>
  <si>
    <t>Penn State Univ, EMS Environm Inst, University Pk, PA 16802 USA.</t>
  </si>
  <si>
    <t>pollard@essc.psu.edu; deconto@geo.umass.edu</t>
  </si>
  <si>
    <t>10.1016/S0031-0182(03)00394-8</t>
  </si>
  <si>
    <t>WOS:000185421100004</t>
  </si>
  <si>
    <t>Florindo, F; Bohaty, SM; Erwin, PS; Richter, C; Roberts, AP; Whalen, PA; Whitehead, JM</t>
  </si>
  <si>
    <t>Magnetoblostratigraphic chronology and palaeoenvironmental history of Cenozoic sequences from ODP sites 1165 and 1166, Prydz Bay, Antarctica</t>
  </si>
  <si>
    <t>magneto stratigraphy; biostratigraphy; Prydz Bay; Antarctica; ocean drilling program; 1165; 1166</t>
  </si>
  <si>
    <t>DIATOM BIOSTRATIGRAPHY; ICE-SHEET; MAGNETIC-PROPERTIES; SOUTHERN-OCEAN; GYROREMANENT MAGNETIZATION; ALTERNATING-FIELD; EAST-ANTARCTICA; ATLANTIC SECTOR; MARGIN EROSION; GREIGITE FE3S4</t>
  </si>
  <si>
    <t>A transect of three sites was drilled during Leg 188 of the Ocean Drilling Program (ODP), proximal to the East Antarctic Ice Sheet (EAIS) across the Prydz Bay continental shelf (Site 1166), slope (Site 1167), and rise (Site 1165). We present results of a palaeomagnetic and rock magnetic Study of sediments recovered at sites 1165 and 1166. Magnetostratigraphic interpretations are presented for both holes and are mainly constrained by diatom and radiolarian biostratigraphies, interpreted in the light of recent refinements to Southern Ocean zonal schemes and datum calibrations for these microfossil groups. Site 1165 records a history of sedimentation on the continental rise extending back to earliest Miocene times (about 22 Ma). Several long-term changes characterise this record, including an overall trend of decreasing sedimentation rates from the bottom to the top of the hole. There is a progressive decrease in the sedimentation rate above about 308 mbsf (meters below sea floor), which is marked by a transition from dark-grey fissile claystones to greenish-grey diatom-bearing clays. At this transition, ice-rafted debris, sand grains, and total clay content also increase. The chronology presented here indicates a middle Miocene age (similar to 14.3 Ma) for the lithological transition. Correlation to ODP Hole 747A from the Kerguelen Plateau suggests that this lithological transition coincides with the base of the Mi-3/3a delta(18)O event, which suggests palaeoclimatic control on middle Miocene sedimentation changes at Site 1165. Core recovery was poor at Site 1166. Consequently, the magnetostratigraphic data are of limited value. The deepest cores recovered at Site 1166 record brief intervals in the early history of the EAIS for the Prydz Bay region, extending back through the early stage of glaciation to pre-glacial times. An Early Cretaceous fluvio-lacustrine unit, lagoonal deposits and sandy fluvio-deltaic units of mid-late Eocene age contain a sporadic record of the transition from humid and mild conditions to cool temperate conditions. (C) 2003 Elsevier B.V.. All rights reserved.</t>
  </si>
  <si>
    <t>Ist Nazl Geofis &amp; Vulcanol, I-00143 Rome, Italy; Univ Southampton, Southampton Oceanog Ctr, Sch Ocean &amp; Earth Sci, Southampton SO14 3ZH, Hants, England; Univ Calif Santa Cruz, Dept Earth Sci, Santa Cruz, CA 95064 USA; Univ Oxford, Dept Earth Sci, Oxford OX1 3PR, England; Texas A&amp;M Res Pk, Ocean Drilling Program, College Stn, TX 77845 USA; Univ Arkansas, Dept Geosci, Fayetteville, AR 72701 USA; Univ Nebraska, Dept Geol, Lincoln, NE 68588 USA</t>
  </si>
  <si>
    <t>Istituto Nazionale Geofisica e Vulcanologia (INGV); University of Southampton; NERC National Oceanography Centre; University of California System; University of California Santa Cruz; University of Oxford; Texas A&amp;M University System; Texas A&amp;M University College Station; University of Arkansas System; University of Arkansas Fayetteville; University of Nebraska System; University of Nebraska Lincoln</t>
  </si>
  <si>
    <t>Florindo, Fabio/M-1459-2019; Florindo, Fabio/AAU-2548-2021; Roberts, Andrew P/E-6422-2010; Florindo, Fabio/F-4119-2010</t>
  </si>
  <si>
    <t>Florindo, Fabio/0000-0002-6058-9748; Florindo, Fabio/0000-0002-6058-9748; Roberts, Andrew P./0000-0003-0566-8117</t>
  </si>
  <si>
    <t>10.1016/S0031-0182(03)00395-X</t>
  </si>
  <si>
    <t>WOS:000185421100005</t>
  </si>
  <si>
    <t>Strand, K; Passchier, S; Näsi, J</t>
  </si>
  <si>
    <t>Implications of quartz grain microtextures for onset Eocene/Oligocene glaciation in Prydz Bay, ODP site 1166, Antarctica</t>
  </si>
  <si>
    <t>Symposium on the Geologic Record of the Antarctic Ice Sheet from Drillingm, Coring and Seismic Studies</t>
  </si>
  <si>
    <t>glacial sedimentation; quartz sand; scanning electron microscope; surface texture; Eocene/Oligocene glaciation; ice sheet evolution; Antarctica</t>
  </si>
  <si>
    <t>SCANNING ELECTRON-MICROSCOPE; SAND; PLEISTOCENE; SEDIMENTS; TEXTURES; ISLAND; TILLS; MA</t>
  </si>
  <si>
    <t>This paper presents the results of the scanning electron microscopic (SEM) analysis of quartz grains from a selection of samples at Site 1166. Ocean Drilling Program Leg 188 drilled Site 1166 on the Prydz Bay continental shelf, Antarctica, to document onset and fluctuations of East-Antarctic glaciation. This site recovered Upper Pliocene-Holocene glacial sediments directly above Cretaceous through Lower Oligocene sediments recording the transition from preglacial to early glacial conditions. SEM analysis of quartz grains at Site 1166 was used to characterize the glacial and preglacial sediments by their diagnostic textures. Angular edges, edge abrasion as well as arcuate to straight steps, are the most frequent features in glacial deposits. The highest frequency of grains with round edges is present in Middle-Late Eocene fluvio-deltaic sands. However, angular outlines, fractured plates with subparallel linear fractures and edge abrasion indicating glacier influence are also present. Preglacial carbonaceous mudstone and laminated gray claystone show distinctive high relief quartz grains and some chemical weathering on grain surfaces. The results of the microtextural analysis of quartz grains are used to verify some critical periods of ice sheet evolution, such as the transition from the East Antarctic preglacial to glacial conditions on the continental shelf from Middle/Late Eocene to Late Eocene/Early Oligocene time. (C) 2003 Elsevier B.V. All rights reserved.</t>
  </si>
  <si>
    <t>Thule Inst, FIN-90014 Oulu, Finland; Ohio State Univ, Dept Geol Sci, Columbus, OH 43210 USA; Ohio State Univ, Byrd Polar Res Ctr, Columbus, OH 43210 USA; Univ Oulu, Dept Proc &amp; Environm Engn, FIN-90014 Oulu, Finland</t>
  </si>
  <si>
    <t>University System of Ohio; Ohio State University; University System of Ohio; Ohio State University; University of Oulu</t>
  </si>
  <si>
    <t>Strand, K (corresponding author), Thule Inst, POB 7300, FIN-90014 Oulu, Finland.</t>
  </si>
  <si>
    <t>Passchier, Sandra/B-1993-2008; Passchier, Sandra/AAQ-2243-2021; Passchier, Sandra/GYU-2381-2022</t>
  </si>
  <si>
    <t>Passchier, Sandra/0000-0001-7204-7025; Passchier, Sandra/0000-0001-7204-7025;</t>
  </si>
  <si>
    <t>10.1016/S0031-0182(03)00396-1</t>
  </si>
  <si>
    <t>Conference Proceedings Citation Index - Science (CPCI-S); Science Citation Index Expanded (SCI-EXPANDED)</t>
  </si>
  <si>
    <t>WOS:000185421100006</t>
  </si>
  <si>
    <t>Roberts, AP; Wilson, GS; Harwood, DM; Verosub, KL</t>
  </si>
  <si>
    <t>Glaciation across the Oligocene-Miocene boundary in southern McMurdo Sound, Antarctica: new chronology from the CIROS-1 drill hole</t>
  </si>
  <si>
    <t>Antarctica; glacial history; Oligocene; Miocene; CIROS; palaeomagnetism</t>
  </si>
  <si>
    <t>ROSS SEA; CLIMATE; PALEOCLIMATE; CALIBRATION; HISTORY; EOCENE; MARGIN; CORE; MA</t>
  </si>
  <si>
    <t>Few Palaeogene and Neogene sediment cores from the Antarctic continental margin have been dated with sufficient precision to enable establishment of direct linkages between glacial events on the Antarctic continent and marked events in deep-sea delta(18)O records. As a result, much of our knowledge of the gradual, but stepwise, shift from 'greenhouse' climates of the Cretaceous to the 'ice-house' climates of the Quaternary is inferred from well-dated and more continuously deposited deep-sea sediments. In this study, we present new magnetostratigraphic results from the CIROS-1 drill core from McMurdo Sound, Antarctica, along with a reinterpretation of a published diatom biostratigraphic zonation that is constrained by correlation to a high-precision age model from the nearby CRP-2/2A drill core. Our results suggest that most of the upper 350 in of the CIROS-1 drill core represents rapid sediment accumulation during a short time interval spanning the Oligocene-Miocene boundary. Chronostratigraphic control is precise enough to enable correlation of this interval of glacimarine sedimentation with the Mi-1 deep-sea delta(18)O event, which confirms that the Mi-1 event was related to a major expansion of Antarctic ice. A major unconformity at 366 in in the CIROS-1 drill core, which is widely observed in regional seismic reflection studies, represents 9 Myr of missing time. This unconformity can be traced offshore into the Ross Sea using seismic stratigraphy and is interpreted to indicate significant East Antarctic ice sheet development during the Mi-1 glaciation. The stratigraphic expression of this similar to400-kyr glacial event is evidently multiphase and complex in the Victoria Land Basin, probably because it was punctuated by higher-frequency orbitally induced glacial oscillations. The presence of Nothofagidites pollen throughout the CIROS-1 drill core and the presence of a Nothofagus (Southern beech) leaf within the early Miocene portion of the core indicate that Antarctic mean summer temperatures did not decrease below 5degreesC throughout the Mi-1 glaciation. These temperatures are significantly warmer than present-day mean summer temperatures at sea level in McMurdo Sound. The persistence of a Nothofagus forest in coastal southern Victoria Land throughout this time interval suggests that the present state of deep refrigeration was not reached until some time after the Mi-1 glaciation. (C) 2003 Elsevier B.V. All rights reserved.</t>
  </si>
  <si>
    <t>Univ Southampton, Southampton Oceanog Ctr, Sch Ocean &amp; Earth Sci, Southampton SO14 3ZH, Hants, England; Univ Otago, Dept Geol, Dunedin, New Zealand; Univ Nebraska, Dept Geosci, Lincoln, NE 68588 USA; Univ Calif Davis, Dept Geol, Davis, CA 95616 USA</t>
  </si>
  <si>
    <t>NERC National Oceanography Centre; University of Southampton; University of Otago; University of Nebraska System; University of Nebraska Lincoln; University of California System; University of California Davis</t>
  </si>
  <si>
    <t>Univ Southampton, Southampton Oceanog Ctr, Sch Ocean &amp; Earth Sci, European Way, Southampton SO14 3ZH, Hants, England.</t>
  </si>
  <si>
    <t>arob@soc.soton.ac.uk</t>
  </si>
  <si>
    <t>Wilson, Gary S/B-3803-2010; Roberts, Andrew P/E-6422-2010</t>
  </si>
  <si>
    <t>Roberts, Andrew P./0000-0003-0566-8117; Wilson, Gary/0000-0003-0025-3641</t>
  </si>
  <si>
    <t>10.1016/S0031-0182(03)00399-7</t>
  </si>
  <si>
    <t>WOS:000185421100007</t>
  </si>
  <si>
    <t>Taviani, M; Beu, AG</t>
  </si>
  <si>
    <t>The palaeoclimatic significance of Cenozoic marine macrofossil assemblages from Cape Roberts Project drillholes, McMurdo Sound, Victoria Land Basin, East Antarctica</t>
  </si>
  <si>
    <t>Ross Sea; Antarctica; Cenozoic; Macropaleontology; Palaeoclimate</t>
  </si>
  <si>
    <t>STRATIGRAPHY; ISLAND</t>
  </si>
  <si>
    <t>The Cape Roberts Project (CRP) drilled three sedimentary cores at 77.00degreesS and 163.7degreesE, about 12-14 km east of Cape Roberts, McMurdo Sound in the Ross Sea, East Antarctica. The total CRP recovery consists of about 1500 in of Cenozoic strata and 100 in of Paleozoic-age Beacon Supergroup rocks. As many as 594 horizons produced macrofossils that prove to be significant to understand past Ross Sea depositional environments and contribute new information about Antarctic climate. In particular, the Cape Roberts Project opened important windows on the paleoclimatic history of East Antarctica during the Early Pleistocene, Early Miocene and Oligocene. The Early Pleistocene carbonate unit in CRP-1 holds a truly polar macrofauna but also documents a peculiar (interglacial?) climatic event with strongly reduced seasonal sea-ice formation in the Ross Sea. The Early Miocene (CRP-1 and CRP-2/2A) and Late Oligocene macrofossil assemblages (CRP-2/2A and CRP-3) are consistent with cold-water environments and may be interpreted to indicate sub-polar conditions. The Early Oligocene assemblages contain modiolid mussels that are definitely not truly polar and suggest significantly warmer-than-present seawater conditions, although definitely colder than during the Middle-Upper Eocene known in James Ross Basin and McMurdo erratics. Finally, the suggestion that CRP reached Upper Eocene strata is considered possible on the base of an undescribed modiolid mussel found at the bottom of pre-Beacon sediments in the CRP-3 drill core. (C) 2003 Elsevier B.V. All rights reserved.</t>
  </si>
  <si>
    <t>ISMAR, Marine Geol Div, CNR, I-40129 Bologna, Italy; Inst Geol &amp; Nucl Sci, Lower Hutt, New Zealand</t>
  </si>
  <si>
    <t>Consiglio Nazionale delle Ricerche (CNR); Istituto di Scienze Marine (ISMAR-CNR); GNS Science - New Zealand</t>
  </si>
  <si>
    <t>Taviani, M (corresponding author), ISMAR, Marine Geol Div, CNR, Via Gobetti 101, I-40129 Bologna, Italy.</t>
  </si>
  <si>
    <t>marco.taviani@bo.ismar.cnr.it</t>
  </si>
  <si>
    <t>Taviani, Marco/AAF-2168-2020</t>
  </si>
  <si>
    <t>Taviani, Marco/0000-0003-0414-4274</t>
  </si>
  <si>
    <t>10.1016/S0031-0182(03)00398-5</t>
  </si>
  <si>
    <t>WOS:000185421100008</t>
  </si>
  <si>
    <t>Roberts, AP; Bicknell, SJ; Byatt, J; Bohaty, SM; Florindo, F; Harwood, DM</t>
  </si>
  <si>
    <t>Magneto stratigraphic calibration of Southern Ocean diatom datums from the Eocene-Oligocene of Kerguelen Plateau (Ocean Drilling Program sites 744 and 748)</t>
  </si>
  <si>
    <t>Eocene; Oligocene; Ocean Drilling Program; 744A; 748B; Kerguelen Plateau; Antarctica; magnetostratigraphy; biostratigraphy; diatoms; foraminifera; calcareous nannofossils</t>
  </si>
  <si>
    <t>CUMULATIVE VISCOUS REMANENCE; SAW-TOOTHED PATTERN; PALEOINTENSITY RECORDS; CRUSTAL STRUCTURE; VICTORIA LAND; CLIMATE; UPLIFT; MAGNETIZATION; ANTARCTICA; TRANSITION</t>
  </si>
  <si>
    <t>Ocean Drilling Program holes 744A and 748B represent key sections for calibration of Southern Ocean Eocene-Oligocene biostratigraphic zonations. Sites 744 and 748 were above the carbonate compensation depth throughout this time interval and contain good planktonic foraminiferal, calcareous nannofossil, and diatom biostratigraphic records. In particular, the Southern Ocean diatom biostratigraphic zonation for the Oligocene critically hinges on calibration of these two holes. Previous low-resolution magnetostratigraphic studies at these sites were hampered by limited sampling and technical difficulties, which prompted our high-resolution reinvestigation of the magnetostratigraphy. Magnetic polarity zonations for holes 744A and 748B were constructed after inspection of vector component plots at 1-cm stratigraphic intervals from continuous u-channel measurements. The magnetizations are generally stable and a robust polarity stratigraphy has been obtained for both holes. The increased resolution of our study and identification of persistent secondary overprints, which were not recognised in previous studies, suggests that the previously published interpretations need to be revised. Our magnetostratigraphic interpretations for both holes are constrained by foraminiferal and calcareous nannofossil datums, as well as by Sr isotope ages. We have calibrated four diatom datums, which are synchronous at the two studied sites, to the geomagnetic polarity timescale, including the first occurrence (FO) of Lisitzinia ornata (27.8 Ma), the FO of Rocella vigilans var. B (27.8 Ma), the FO of Cavitatus jouseanus (30.9 Ma) and the FO of Rhizosolenia oligocaenica (33.8 Ma). The synchroneity of these datums suggests that diatom biostratigraphy has considerable potential for Palaeogene biostratigraphic correlation in the Southern Ocean. Although the ages of some datums are obscured by an unconformity in Hole 744A, our age model from Hole 748B suggests age estimates for the last common occurrence of Rocella vigilans var. A (similar to29.0 Ma), the FO of Rocella vigilans var. A (30.0 Ma) and the FO of Rhizosolenia antarctica (33.2 Ma). It should also be noted that the last occurrence of the calcareous nannofossil Chiasmolithus altus occurs in Chron C8r rather than C8n in our revised magneto stratigraphic interpretation, which indicates that this datum is not diachronous between low and mid latitudes as had previously been suggested. Significant unconformities are documented in both holes, in the middle Oligocene and in the middle late Oligocene, respectively, which probably resulted from periods of enhanced circumpolar deep-water circulation. (C) 2003 Elsevier B.V. All rights reserved.</t>
  </si>
  <si>
    <t>Univ Southampton, Sch Ocean &amp; Earth Sci, Southampton Oceanog Ctr, Southampton SO14 3ZH, Hants, England; Univ Calif Santa Cruz, Dept Earth Sci, Santa Cruz, CA 95064 USA; Ist Nazl Geofis &amp; Vulcanol, I-00143 Rome, Italy; Univ Nebraska, Dept Geosci, Lincoln, NE 68588 USA</t>
  </si>
  <si>
    <t>University of Southampton; NERC National Oceanography Centre; University of California System; University of California Santa Cruz; Istituto Nazionale Geofisica e Vulcanologia (INGV); University of Nebraska System; University of Nebraska Lincoln</t>
  </si>
  <si>
    <t>Univ Southampton, Sch Ocean &amp; Earth Sci, Southampton Oceanog Ctr, European Way, Southampton SO14 3ZH, Hants, England.</t>
  </si>
  <si>
    <t>arob@mail.soc.soton.ac.uk</t>
  </si>
  <si>
    <t>Florindo, Fabio/F-4119-2010; Roberts, Andrew P/E-6422-2010; Florindo, Fabio/AAU-2548-2021; Florindo, Fabio/M-1459-2019</t>
  </si>
  <si>
    <t>10.1016/S0031-0182(03)00397-3</t>
  </si>
  <si>
    <t>WOS:000185421100009</t>
  </si>
  <si>
    <t>Chow, JM; Bart, PJ</t>
  </si>
  <si>
    <t>West antarctic ice sheet grounding events on the Ross Sea outer continental shelf during the middle Miocene</t>
  </si>
  <si>
    <t>middle Miocene; ice sheet; West Antarctica; glaciation; Ross Sea</t>
  </si>
  <si>
    <t>GEOPHYSICAL INVESTIGATIONS; RIFT SYSTEM; STREAM-B; BENEATH; PACIFIC; RECORD; EAST</t>
  </si>
  <si>
    <t>New seismic-stratigraphic analysis of the Ross Sea continental shelf suggests that there were a at least five shelf-wide grounding events of the West Antarctic Ice Sheet (WAIS) during the middle Miocene. Although the number of WAIS grounding events generally matches the number of extreme delta(18)O enrichments and eustatic lowstands, these results do not support the long-standing assumption that West Antarctica was substantially ice-free. Instead, seismic-stratigraphic evidence from the Ross Sea shelf documents waxing and waning of a well-developed WAIS in the marine environment at least on the Pacific sector of the West Antarctic continental shelf. (C) 2003 Elsevier B.V. All rights reserved.</t>
  </si>
  <si>
    <t>Louisiana State Univ, Dept Geol &amp; Geophys, Baton Rouge, LA 70803 USA</t>
  </si>
  <si>
    <t>Louisiana State University System; Louisiana State University</t>
  </si>
  <si>
    <t>Louisiana State Univ, Dept Geol &amp; Geophys, Howe Russell Geosci Complex E235, Baton Rouge, LA 70803 USA.</t>
  </si>
  <si>
    <t>jchowl@lsu.edu</t>
  </si>
  <si>
    <t>10.1016/S0031-0182(03)00400-0</t>
  </si>
  <si>
    <t>WOS:000185421100010</t>
  </si>
  <si>
    <t>Maldonado, A; Barnolas, A; Bohoyo, F; Galindo-Zaldívar, J; Hernández-Molina, J; Lobo, F; Rodríguez-Fernández, J; Somoza, L; Vázquez, JT</t>
  </si>
  <si>
    <t>Contourite deposits in the central Scotia sea:: the importance of the Antarctic Circumpolar Current and the Weddell Gyre Flows</t>
  </si>
  <si>
    <t>contourite deposits; Scotia Sea; Antarctic paleoceanography; Antarctic Circumpolar Current; Weddell Sea Deep Water</t>
  </si>
  <si>
    <t>BOTTOM WATER FORMATION; DEEP-WATER; TECTONIC EVOLUTION; SOUTH-ATLANTIC; DRAKE PASSAGE; OCEAN; VARIABILITY; CIRCULATION; PENINSULA; TRANSPORT</t>
  </si>
  <si>
    <t>New swath bathymetry with multichannel and high resolution seismic profiles shows a variety of contourite drift, sediment wave morphologies, and seismic facies in the central Scotia Sea. The deposits are to be found at the confluence between the two most important bottom current flows in the southern ocean: the eastward flowing Antarctic Circumpolar Current (ACC) and the northward outflow of the Weddell Sea Deep Water (WSDW). The contourite drifts are wedge-like deposits up to 1 km thick, that exhibit aggradational reflectors along axis thinning towards the margins. The contourite drifts occur in areas of weaker flows along the margins of contourite channels and in areas protected by obstacles. The elongate-mounded drifts are best developed along the left-hand margins of channelized bottom current flows, due to the Coriolis force. A contourite fan has a main channel and two distributary channels that expand over a gentle seafloor. The proximal fan exhibits sediment waves with the distal fan incised by furrows. Sediment wave fields are well developed in areas of intensified bottom flows without channels, particularly at the confluence of the ACC and the WSDW. Small sediment waves occur where unidirectional bottom current flows predominate. Sediment waves may develop under the influence of internal waves produced by the interaction of the flows and sea-bottom relief. The stratigraphic sequence above the oceanic crust of Early to Middle Miocene age contains six seismic units separated by major reflectors. All the units were shaped under the influence of strong bottom current flows, although they exhibit distinct seismic facies changes that record the variations of the bottom current pathways over time. The age of the units was calculated based on the age of the oceanic crust and sedimentation rates of deep-sea deposits in the region. The oldest, Units VI-IV, are of Early to Middle Miocene age and developed under the influence of the ACC. They are characterized by a southward progradational pattern of the seismic units and sedimentation rates of 5-8 cm/ky. Unit III, with an estimated Middle Miocene age, evidences the first incursion of WSDW into the central Scotia Sea, when plate movement caused openings in the South Scotia Ridge and allowed the connection with the northern Weddell Sea through Jane Basin and gaps in the ridge. Unit II, estimated to be of Late Miocene to Early Pliocene age, extends over the area and is characterized by internal unconformities. A major unconformity at the base of Unit II records an important reorganization of bottom current flows that may predate the onset of grounded ice sheets on the Antarctic Peninsula shelf. Unit I, of Late Pliocene to Quaternary age, shows intensified bottom currents. The unconformity at the base of Unit I probably predates the onset of major Northern Hemisphere glaciations and the greater expansion of Antarctic ice sheets during the Late Pliocene. The extensive distribution of contourite deposits above the oceanic crust testifies to the long-term production of Antarctic Bottom Water. Cold, deep water was swept northward from the Weddell Gyre, interacting with the ACC, and possibly exerting profound influences on the global circulation system and the onset of major glaciations. (C) 2003 Elsevier B.V. All rights reserved.</t>
  </si>
  <si>
    <t>Univ Granada, CSIC, Fac Ciencias, Inst Andaluz Ciencias Tierra, Granada 18002, Spain; Inst Geol &amp; Minero Espana, Madrid 28003, Spain; Univ Granada, Dept Geodinam, E-18071 Granada, Spain; Univ Vigo, Dept Geosci Marinas, Fac Ciencias Mar, Vigo, Spain; Univ Algarve, CIACOMAR, P-8700311 Olhao, Portugal; Univ Cadiz, Fac Ciencias Mar, Cadiz 11510, Spain</t>
  </si>
  <si>
    <t>University of Granada; Consejo Superior de Investigaciones Cientificas (CSIC); CSIC - Instituto Andaluz de Ciencias de la Tierra (IACT); University of Granada; Universidade de Vigo; Universidade do Algarve; Universidad de Cadiz</t>
  </si>
  <si>
    <t>Univ Granada, CSIC, Fac Ciencias, Inst Andaluz Ciencias Tierra, Granada 18002, Spain.</t>
  </si>
  <si>
    <t>amaldona@ugr.es</t>
  </si>
  <si>
    <t>vasquez, juan/JCN-9608-2023; Somoza, Luis/C-1400-2010; Bohoyo, Fernando/C-1062-2011; Lobo, Francisco José/J-9836-2012; Vazquez, Juan-Tomas/T-6271-2019; Galindo-Zaldivar, Jesus/K-3640-2012; Barnolas, Antonio/AAQ-6863-2021; Vazquez, Juan-Tomas/L-7796-2014; Bohoyo, Fernando/AAZ-5990-2021; RODRIGUEZ-FERNANDEZ, JOSE/L-7077-2014</t>
  </si>
  <si>
    <t>Somoza, Luis/0000-0001-5451-2288; Bohoyo, Fernando/0000-0002-1044-8816; Lobo, Francisco José/0000-0002-3294-7202; Vazquez, Juan-Tomas/0000-0002-3747-4838; Galindo-Zaldivar, Jesus/0000-0002-3493-2637; Barnolas, Antonio/0000-0002-4124-3426; Vazquez, Juan-Tomas/0000-0002-3747-4838; Bohoyo, Fernando/0000-0002-1044-8816; RODRIGUEZ-FERNANDEZ, JOSE/0000-0003-0349-9209</t>
  </si>
  <si>
    <t>10.1016/S0031-0182(03)00401-2</t>
  </si>
  <si>
    <t>WOS:000185421100011</t>
  </si>
  <si>
    <t>Forsberg, CF; Lovlie, R; Jansen, E; Solheim, A; Sejrup, HP; Lie, HE</t>
  </si>
  <si>
    <t>A 1.3-Myr palaeoceanographic record from the continental margin off Dronning Maud Land, Antarctica</t>
  </si>
  <si>
    <t>Antarctic; Weddell Sea; Dronning Maud Land; palaeoceanography; stable isotopes; magnetostratigraphy</t>
  </si>
  <si>
    <t>PLEISTOCENE EVOLUTION; TIMESCALE; CLIMATE; WATER; SEA</t>
  </si>
  <si>
    <t>A 12.5 m long core was retrieved from the continental margin off Dronning Maud Land, Antarctica. Magnetostratigraphy, stable isotopes, C-14 accelerator mass spectrometer and amino acid analyses indicate a continuous sediment record going back 1.3 Myr. Comparison of CaCO3 results with those from ODP Site 1089 and an index of North Atlantic Deep Water (NADW) influence in surface waters indicate that NADW upwelled along the Antarctic continental margin during the whole of this period. The mid-Pleistocene transition (1.0-0.6 Ma) was accompanied by an apparent decline in the NADW influence, and was followed by extended carbonate dissolution during the interglacials of marine isotope stages (MIS) 13 and 11. Less extensive periods of dissolution occur at the end of the interglacials younger than MIS 11. While interglacial dissolution is characteristic of the Pacific and Indian oceans, the carbon isotopes return to pre-transition values indicative of renewed NADW upwelling. The concentration of ice-rafted debris may reflect changes in the relative rate of interglacial sedimentation. It is speculated that the high ice rafted debris (IRD) concentrations during interglacials younger than 400 kyr may be due to a reduced relative sedimentation rate of other interglacial components whereas the low concentrations during interglacials before the mid-Pleistocene transition may be due to a higher relative sedimentation rate of these. (C) 2003 Elsevier B.V. All rights reserved.</t>
  </si>
  <si>
    <t>Norwegian Geotech Inst, N-0806 Oslo, Norway; Univ Bergen, Dept Solid Earth Phys, N-5007 Bergen, Norway; Univ Bergen, Dept Geol, N-5007 Bergen, Norway; Norsk Hydro AS, Sandvika, Norway</t>
  </si>
  <si>
    <t>Norwegian Geotechnical Institute, NGI; University of Bergen; University of Bergen; Norsk Hydro ASA</t>
  </si>
  <si>
    <t>Norwegian Geotech Inst, POB 3930, N-0806 Oslo, Norway.</t>
  </si>
  <si>
    <t>carl.frederick.forsberg@ngi.no</t>
  </si>
  <si>
    <t>10.1016/S0031-0182(03)00402-4</t>
  </si>
  <si>
    <t>WOS:000185421100012</t>
  </si>
  <si>
    <t>Villa, G; Persico, D; Bonci, MC; Lucchi, RG; Morigi, C; Rebesco, M</t>
  </si>
  <si>
    <t>Biostratigraphic characterization and Quaternary microfossil palaeoecology in sediment drifts west of the Antarctic Peninsula - implications for cyclic glacial-interglacial deposition</t>
  </si>
  <si>
    <t>calcareous nannofossil; diatom; foraminifera; sediment drifts; Antarctic Peninsula</t>
  </si>
  <si>
    <t>CONTINENTAL RISE WEST; SOUTH-ATLANTIC-OCEAN; WEDDELL-SEA; DEEP-SEA; BENTHIC FORAMINIFERA; NEOGLOBOQUADRINA-PACHYDERMA; DIATOM BIOSTRATIGRAPHY; SURFACE SEDIMENTS; SORSDAL FORMATION; VESTFOLD HILLS</t>
  </si>
  <si>
    <t>The SEDANO Project recovered 19 gravity cores on sediment drifts from the Pacific continental margin of the Antarctic Peninsula [Camerlenghi et al. (1997a) High-resolution terrigenous sedimentary record of the sediment drifts on the Antarctic Peninsula Pacific margin. In: Ricci, C.A. (Ed.), The Antarctic region. Museo Nazionale dell'Antartide, Siena, pp. 705-710]. Fifteen cores were sampled with the aim of developing an integrated biostratigraphy and palaeoecology based on calcareous nannofossils, diatoms, planktonic and benthic foraminifera, framed in a depositional process reconstruction. Barren gray laminated and brown bioturbated hemipelagic sediments characterize glacial and interglacial cycles, respectively. Analyses from both intervals allow comparison between microfossil occurrence in glacial and interglacial cycles. The unit boundaries were drawn more accurately by means of the microfossil distribution. On the basis of micropalaeontological and sedimentological evidence, Interglacial Unit C is correlated to Oxygen Isotope Stage 5, thus dating the unit boundaries at 127 and 70 ka. Peaks in diatom abundance correlate well with interglacial units and indicate high productivity and an open ocean environment. A calcareous nannofossil cold-taxa association is present in most cores examined, and its consistent distribution within Interglacial Unit C indicates key environmental relationships. The occurrence of calcareous nannofossils has been related to temperature tolerance, sea-ice cover reduction, nutrient availability, and factors limiting primary productivity. Our results confirm that coccolithophorids occurred at southern high latitudes, in the western marginal basins of the Antarctic Peninsula, during short periods of the Late Quaternary. A foraminiferal assemblage, made up of sinistral Neogloboquadrina pachyderma and few benthics, occurs only in interglacial units. Correlation of microfossil occurrences with climatic cycles adds information on their palaeoecology and palaeoproductivity in the southern high latitudes. (C) 2003 Elsevier B.V. All rights reserved.</t>
  </si>
  <si>
    <t>Univ Parma, Dipartimento Sci Terra, I-43100 Parma, Italy; Univ Genoa, Dipartimento Studio Territorio Risorse, I-16132 Genoa, Italy; Ist Nazl Oceanog Geofis Sperimentale, Dipartimento Geofis Litosfera, I-34010 Sgonico, TS, Italy; Univ Politecn Marche, Dipartimento Sci Mare, I-60131 Ancona, Italy</t>
  </si>
  <si>
    <t>University of Parma; University of Genoa; Istituto Nazionale di Oceanografia e di Geofisica Sperimentale; Marche Polytechnic University</t>
  </si>
  <si>
    <t>Villa, G (corresponding author), Univ Parma, Dipartimento Sci Terra, Parco Area Sci 157A, I-43100 Parma, Italy.</t>
  </si>
  <si>
    <t>Morigi, Caterina/B-3316-2012; Rebesco, Michele/B-7462-2014</t>
  </si>
  <si>
    <t>Morigi, Caterina/0000-0003-1340-9932; Rebesco, Michele/0000-0002-9492-4081; Persico, Davide/0000-0001-5194-9724; Lucchi, Renata Giulia/0000-0001-5111-6968</t>
  </si>
  <si>
    <t>10.1016/S0031-0182(03)00403-6</t>
  </si>
  <si>
    <t>WOS:000185421100013</t>
  </si>
  <si>
    <t>Morigi, C; Capotondi, L; Giglio, F; Langone, L; Brilli, M; Turi, B; Ravaioli, M</t>
  </si>
  <si>
    <t>A possible record of the Younger Dryas event in deep-sea sediments of the Southern Ocean (Pacific sector)</t>
  </si>
  <si>
    <t>foraminifera; oxygen isotope; Younger Dryas; Antarctic Cold Reversal; Southern Ocean; Polar Front</t>
  </si>
  <si>
    <t>LAST GLACIAL PERIOD; ANTARCTIC CIRCUMPOLAR CURRENT; RADIOCARBON AGE CALIBRATION; PLANKTIC FORAMINIFERA; CARBONATE DISSOLUTION; NORTH-ATLANTIC; COLD REVERSAL; NEW-ZEALAND; DEGLACIATION; PRESERVATION</t>
  </si>
  <si>
    <t>The oxygen isotope record combined with radiocarbon dating from two deep-sea cores collected along a transect between New Zealand and the Ross Sea are used to establish a reliable chronostratigraphy for the last 14 kyr. After an integrated geochemical and micropaleontological analysis in this timeframe we detected a cooling interval dated between 12.5 cal kyr BP and 11.4 cal kyr BP. The age control suggests that this event started 1.5 kyr after the onset of the Antarctic Cold Reversal previously observed in several Antarctic ice cores. We infer that the observed cool event corresponds to the Younger Dryas event defined in Northern Europe. This suggests that climate change recorded in this sector of the Southern Hemisphere still shows some synchronicity with Northern Hemisphere variations and that the decoupling of climate change between the two hemispheres likely occurred south of the Polar Front. (C) 2003 Elsevier B.V. All rights reserved.</t>
  </si>
  <si>
    <t>Univ Politecn Marche, Dipartimento Sci Mare, I-60131 Ancona, Italy; Ist Geol Marina, CNR, Bologna, Italy; CNR, Ctr Studio Quaternario Evoluz Ambientale, Rome, Italy</t>
  </si>
  <si>
    <t>Marche Polytechnic University; Consiglio Nazionale delle Ricerche (CNR); Istituto di Scienze Marine (ISMAR-CNR); Consiglio Nazionale delle Ricerche (CNR)</t>
  </si>
  <si>
    <t>Morigi, C (corresponding author), Univ Politecn Marche, Dipartimento Sci Mare, Via Brecce Bianche, I-60131 Ancona, Italy.</t>
  </si>
  <si>
    <t>, leonardo.langone@ismar.cnr.it/D-8139-2011; Lucilla, Capotondi/C-8874-2015; Morigi, Caterina/B-3316-2012; Ravaioli, Mariangela/B-7589-2015</t>
  </si>
  <si>
    <t>Lucilla, Capotondi/0000-0003-3282-7910; Morigi, Caterina/0000-0003-1340-9932; BRILLI, MAURO/0000-0002-2536-5714; Ravaioli, Mariangela/0000-0001-6858-8013</t>
  </si>
  <si>
    <t>10.1016/S0031-0182(03)00404-8</t>
  </si>
  <si>
    <t>WOS:000185421100014</t>
  </si>
  <si>
    <t>Srokosz, MA</t>
  </si>
  <si>
    <t>Rapid climate change: scientific challenges and the new NERC programme</t>
  </si>
  <si>
    <t>PHILOSOPHICAL TRANSACTIONS OF THE ROYAL SOCIETY A-MATHEMATICAL PHYSICAL AND ENGINEERING SCIENCES</t>
  </si>
  <si>
    <t>rapid climate change; thermohaline circulation; palaeo; modelling; observations; Atlantic</t>
  </si>
  <si>
    <t>ANTARCTIC CIRCUMPOLAR CURRENT; NORTH-ATLANTIC OCEAN; THERMOHALINE CIRCULATION; HEAT-TRANSPORT; ATMOSPHERIC CO2; LABRADOR SEA; DEEP-WATER; MODEL; ADJUSTMENT; AGULHAS</t>
  </si>
  <si>
    <t>In this paper the scientific challenges of observing, modelling, understanding and predicting rapid changes in climate are discussed, with a specific focus on the role of the Atlantic thermohaline circulation. The palaeo and present-day observational and modelling studies being carried out to meet these challenges, under the aegis of a new NERC Rapid Climate Change thematic programme (RAPID), are outlined. In particular, the paper describes the work being done to monitor changes in the meridional overturning circulation of the North Atlantic. The paper concludes with some speculative comments about potential mechanisms for rapid changes.</t>
  </si>
  <si>
    <t>Southampton Oceanog Ctr, Southampton SO14 3ZH, Hants, England</t>
  </si>
  <si>
    <t>University of Southampton; NERC National Oceanography Centre</t>
  </si>
  <si>
    <t>Srokosz, MA (corresponding author), Southampton Oceanog Ctr, European Way, Southampton SO14 3ZH, Hants, England.</t>
  </si>
  <si>
    <t>m.srokosz@soc.soton.ac.uk</t>
  </si>
  <si>
    <t>ROYAL SOC</t>
  </si>
  <si>
    <t>LONDON</t>
  </si>
  <si>
    <t>6-9 CARLTON HOUSE TERRACE, LONDON SW1Y 5AG, ENGLAND</t>
  </si>
  <si>
    <t>1364-503X</t>
  </si>
  <si>
    <t>1471-2962</t>
  </si>
  <si>
    <t>PHILOS T R SOC A</t>
  </si>
  <si>
    <t>Philos. Trans. R. Soc. A-Math. Phys. Eng. Sci.</t>
  </si>
  <si>
    <t>10.1098/rsta.2003.1243</t>
  </si>
  <si>
    <t>Multidisciplinary Sciences</t>
  </si>
  <si>
    <t>Science &amp; Technology - Other Topics</t>
  </si>
  <si>
    <t>724HK</t>
  </si>
  <si>
    <t>Green Accepted</t>
  </si>
  <si>
    <t>WOS:000185482000026</t>
  </si>
  <si>
    <t>Jacobs, J; Bauer, W; Fanning, CM</t>
  </si>
  <si>
    <t>Late Neoproterozoic/Early Palaeozoic events in central Dronning Maud Land and significance for the southern extension of East African Orogen into East Antarctica</t>
  </si>
  <si>
    <t>PRECAMBRIAN RESEARCH</t>
  </si>
  <si>
    <t>Neoproterozoic event; Paleozoic event; East African Orogen</t>
  </si>
  <si>
    <t>U-PB AGES; GRENVILLE-AGE; METAMORPHISM; GRANULITES; EVOLUTION; ELEMENT; ZONE</t>
  </si>
  <si>
    <t>New SHRIMP zircon data from Gjelsvikfjella and Muhlig-Hofmann-Gebirge indicate that the metamorphic basement is composed of Grenville-age rocks that are most likely part of the northeastern continuation of the Namaqua-Natal-Maud Belt. High-grade overprinting occurred between c. 560 and 490Ma. This period is considered to bracket the collision of E- and W-Gondwana along, the East African/Antarctic Orogen (EAAO) and also the subsequent collapse of the orogen. The onset of collision probably predates our oldest dates. We can clearly differentiate between an early compressional stage (Pan-African I) and a later dilational episode (Pan-African II). The Pan-African I event is characterised by the intrusion of leucogranites, and the formation of medium-U metamorphic zircon overgrowth. A sample of a syn-tectonic leucogranite gave a well-constrained crystallisation age of 558.4 +/- 5.6 Ma. These rocks are intensely deformed and have formed a second gt-bearing leucosome after their emplacement. Identical ages come from low-U metamorphic zircons and low-U rims from another leucosome at Festninga (557 +/- 13 Ma). The Pan-African II event (c. 530 and 490 Ma) is characterised by widespread melting and only little deformation. It is associated with charnockite magmatism, chamockitisation and high-temperature metamorphism. Wide, very high-U zircon rims form during this period. The early Pan-African 11 overprint between c. 530 and 520 Ma is recorded in almost all samples. An undeformed mafic dyke with a zircon crystallisation age of 523.2 +/- 4.8 indicates that there is no or minor deformation after its intrusion. This strongly metasomatised dyke, however, also indicates that although deformation ceased, intense fluid circulation continued. The youngest crystallisation ages come from a post-tectonic granite sheet which yields a crystallisation age of 486.9 +/- 3.8 Ma. Final cooling to temperatures below c. 600 degreesC is recorded by a titanite age of c. 483 +/- 11 Ma from the Stabben gabbro. Late to post-tectonic granitoids are voluminous and intrude over a period of c. 30 Ma, between c. 520 and 490Ma. They are alkaline in composition and can be classified as A2-type. This indicates that they are probably formed by melting of a tonalitic to granodioritic lower crust in the cause of crustal thickening, or from underplated lower crust. (C) 2003 Elsevier B.V. All rights reserved.</t>
  </si>
  <si>
    <t>Univ Bremen, Fachbereich Geowissensch, D-28334 Bremen, Germany; Rhein Westfal TH Aachen, Inst Geol, D-52056 Aachen, Germany; Australian Natl Univ, Canberra, ACT 0200, Australia</t>
  </si>
  <si>
    <t>University of Bremen; RWTH Aachen University; Australian National University</t>
  </si>
  <si>
    <t>Univ Bremen, Fachbereich Geowissensch, PF 330440, D-28334 Bremen, Germany.</t>
  </si>
  <si>
    <t>jojacobs@uni-bremen.de</t>
  </si>
  <si>
    <t>Bauer, Wilfried/AAB-2269-2019; Fanning, Christopher Mark/I-6449-2016</t>
  </si>
  <si>
    <t>Bauer, Wilfried/0000-0003-0359-8952; Fanning, Christopher Mark/0000-0003-3331-3145</t>
  </si>
  <si>
    <t>0301-9268</t>
  </si>
  <si>
    <t>1872-7433</t>
  </si>
  <si>
    <t>PRECAMBRIAN RES</t>
  </si>
  <si>
    <t>Precambrian Res.</t>
  </si>
  <si>
    <t>10.1016/S0301-9268(03)00125-6</t>
  </si>
  <si>
    <t>720YC</t>
  </si>
  <si>
    <t>WOS:000185289400002</t>
  </si>
  <si>
    <t>Rajchenberg, M</t>
  </si>
  <si>
    <t>Taxonomic studies on selected Austral polypores</t>
  </si>
  <si>
    <t>AUSTRALIAN SYSTEMATIC BOTANY</t>
  </si>
  <si>
    <t>ANTARCTIC PIPTOPORUS POLYPORACEAE; APHYLLOPHORALES; ARGENTINA; INTERCOMPATIBILITY; BASIDIOMYCOTINA; COMPATIBILITY; FORESTS; TESTS; SL</t>
  </si>
  <si>
    <t>Cultural studies, mating systems and/or compatibility tests on six polypore species (Aphyllophorales, Basidiomycota) that decay standing and/or fallen trees in southern Argentina were performed in order to better understand their taxonomic position. Bondarzewia guaitecasensis formed sulphopositive gloeopleurous hyphae but did not form the Spiniger anamorph state typical of other species in the genus. Ceriporiopsis merulinus comb. nov. is proposed on the basis of morphological features of the basidiocarp (i.e. resupinate, brightly coloured, with metachromatic generative hyphae) and cultural characters. Porpomyces mucidus formed ampulliform septa in culture, a feature that supports its inclusion in that genus and not in Ceriporiopsis. Compatibility tests showed the isolation of Junghuhnia collabens var. meridionalis, described from southern Argentina, New Zealand and Australia, from J. collabens and J. nitida from the Northern Hemisphere; therefore, the new combination J. meridionalis is proposed. Two incompatibility groups were found within Postia dissecta, one that is fully compatible with Tyromyces exiguus from New Zealand, and supports their synonymy, and another that is fully incompatible but morphologically indistinct. Four forms of Trametes versicolor described from Argentina and treated as distinct by some authors, were shown to be fully compatible and deserve subspecific treatment.</t>
  </si>
  <si>
    <t>CIEFAP, RA-9200 Esquel, Chubut, Argentina</t>
  </si>
  <si>
    <t>Rajchenberg, M (corresponding author), CIEFAP, CC 14, RA-9200 Esquel, Chubut, Argentina.</t>
  </si>
  <si>
    <t>C S I R O PUBLISHING</t>
  </si>
  <si>
    <t>COLLINGWOOD</t>
  </si>
  <si>
    <t>150 OXFORD ST, PO BOX 1139, COLLINGWOOD, VICTORIA 3066, AUSTRALIA</t>
  </si>
  <si>
    <t>1030-1887</t>
  </si>
  <si>
    <t>AUST SYST BOT</t>
  </si>
  <si>
    <t>Aust. Syst. Bot.</t>
  </si>
  <si>
    <t>SEP 11</t>
  </si>
  <si>
    <t>10.1071/SB02027</t>
  </si>
  <si>
    <t>Plant Sciences; Evolutionary Biology</t>
  </si>
  <si>
    <t>720NJ</t>
  </si>
  <si>
    <t>WOS:000185266600002</t>
  </si>
  <si>
    <t>Giner-Robles, JL; González-Casado, JM; Gumiel, P; García-Cuevas, C</t>
  </si>
  <si>
    <t>Changes in strain trajectories in three different types of plate tectonic boundary deduced from earthquake focal mechanisms</t>
  </si>
  <si>
    <t>TECTONOPHYSICS</t>
  </si>
  <si>
    <t>focal mechanisms; plate boundaries; strain tensor; strain trajectories</t>
  </si>
  <si>
    <t>FAULT-SLIP DATA; STRESS TENSOR; ANTARCTIC PENINSULA; CENTRAL SPAIN; BASIN; STATE; FIELD; ZONE; CONSTRAINTS; SEISMICITY</t>
  </si>
  <si>
    <t>Principal strain orientations (minimum horizontal compression-ex and maximum horizontal compression-ey) were established at three different types of plate tectonic boundary: two transform faults, an oceanic ridge located on the Southeast Indian Ridge and a trench located close to the South Sandwich Archipelago. To establish the strain patterns in each zone, 104 earthquake focal mechanisms (centroid-moment tenser solutions for earthquakes with mb greater than or equal to 4; Harvard seismology data, CMT) were examined by fault population analysis. Despite the existence of only one tectonic process that controlled deformation in these zones (divergence, convergence or passive displacement), and only one main strain tenser, several coeval strain ellipsoids were found. These differed from the main strain tensor in the location of the principal strains. In general, permutations were observed between the principal strains, i.e., interchanges between the location of the principal strain axes maintaining the strain ellipsoids in the same 3D orientation. Only in some cases were changes in the ellipsoid orientation associated with major structures. (C) 2003 Elsevier B.V. All rights reserved.</t>
  </si>
  <si>
    <t>Univ Autonoma Madrid, Fac Ciencias, Dept Q A Geol &amp; Geoquim, E-28049 Madrid, Spain; Inst Geol &amp; Minero, Madrid 28003, Spain</t>
  </si>
  <si>
    <t>Autonomous University of Madrid</t>
  </si>
  <si>
    <t>Univ Autonoma Madrid, Fac Ciencias, Dept Q A Geol &amp; Geoquim, E-28049 Madrid, Spain.</t>
  </si>
  <si>
    <t>jorge.giner@uam.es</t>
  </si>
  <si>
    <t>Giner-Robles, Jorge L./H-5063-2011</t>
  </si>
  <si>
    <t>Giner-Robles, Jorge L./0000-0002-1507-4796</t>
  </si>
  <si>
    <t>0040-1951</t>
  </si>
  <si>
    <t>1879-3266</t>
  </si>
  <si>
    <t>Tectonophysics</t>
  </si>
  <si>
    <t>10.1016/S0040-1951(03)00310-X</t>
  </si>
  <si>
    <t>740MF</t>
  </si>
  <si>
    <t>WOS:000186405600005</t>
  </si>
  <si>
    <t>Montagnat, M; Duval, P; Bastie, P; Hamelin, B; Lipenkov, VY</t>
  </si>
  <si>
    <t>Lattice distortion in ice crystals from the Vostok core (Antarctica) revealed by hard X-ray diffraction; implication in the deformation of ice at low stresses</t>
  </si>
  <si>
    <t>EARTH AND PLANETARY SCIENCE LETTERS</t>
  </si>
  <si>
    <t>ice; ice sheets; creep; deformation inhomogeneities; X-ray diffraction</t>
  </si>
  <si>
    <t>SUBGLACIAL LAKE VOSTOK; STRAIN GRADIENTS; POLAR ICE; DISLOCATIONS; CREEP; SIZE; IMPURITIES; PLASTICITY; SHEETS; GLIDE</t>
  </si>
  <si>
    <t>Hard X-ray diffraction experiments have been carried out on ice monocrystals taken from the 3623 m long Vostok core (Antarctica). Strain gradients associated with the storage of geometrically necessary dislocations appear to be a general feature of the deformation microstructure of ice. The observed lattice distortion is related to the bending of the basal plane and the torsion of the lattice around the c-axis. The lattice distortion is shown to be compatible with the basal dislocations generally observed in ice crystals, Supporting the assumption of deformation modes governed by basal slip and accommodated by recrystallization processes. The dependence of the ice viscosity on grain size in ice sheets appears to be compatible with these accommodation modes. (C) 2003 Elsevier B.V. All rights reserved.</t>
  </si>
  <si>
    <t>CNRS, Lab Glaciol &amp; Geophys Environm, F-38042 St Martin Dheres, France; CNRS, Spectrometrie Phys Lab, F-38042 St Martin Dheres, France; Inst Max Von Laue Paul Langevin, F-38042 Grenoble, France; Arctic &amp; Antarctic Res Inst, St Petersburg 199397, Russia</t>
  </si>
  <si>
    <t>Centre National de la Recherche Scientifique (CNRS); Centre National de la Recherche Scientifique (CNRS); Institut Laue-Langevin (ILL); Arctic &amp; Antarctic Research Institute</t>
  </si>
  <si>
    <t>CNRS, Lab Glaciol &amp; Geophys Environm, BP 96, F-38042 St Martin Dheres, France.</t>
  </si>
  <si>
    <t>maurine@lgge.obs.ujf-grenoble.fr; duval@lgge.obs.ujf-grenoble.fr</t>
  </si>
  <si>
    <t>Montagnat, Maurine/N-6431-2014; Lipenkov, Vladimir/Q-8262-2016</t>
  </si>
  <si>
    <t>Lipenkov, Vladimir/0000-0003-4221-5440</t>
  </si>
  <si>
    <t>0012-821X</t>
  </si>
  <si>
    <t>1385-013X</t>
  </si>
  <si>
    <t>EARTH PLANET SC LETT</t>
  </si>
  <si>
    <t>Earth Planet. Sci. Lett.</t>
  </si>
  <si>
    <t>SEP 10</t>
  </si>
  <si>
    <t>10.1016/S0012-821X(03)00364-9</t>
  </si>
  <si>
    <t>721PU</t>
  </si>
  <si>
    <t>WOS:000185325400026</t>
  </si>
  <si>
    <t>Caillon, N; Jouzel, J; Severinghaus, JP; Chappellaz, J; Blunier, T</t>
  </si>
  <si>
    <t>A novel method to study the phase relationship between Antarctic and Greenland climate</t>
  </si>
  <si>
    <t>LAST GLACIAL PERIOD; VOSTOK ICE CORE; ATMOSPHERIC METHANE; ISOTOPE PROFILES; POLAR ICE; TEMPERATURE; RECORDS; KYR; CH4; BP</t>
  </si>
  <si>
    <t>A classical method for understanding the coupling between northern and southern hemispheres during millennial-scale climate events is based on the correlation between Greenland and Antarctic ice core records of atmospheric composition. Here we present a new approach based on the use of a single Antarctic ice core in which measurements of methane concentration and inert gas isotopes place constraints on the timing of a rapid climate change in the North and of its Antarctic counterpart. We applied it to the Marine Isotope Stage (MIS) 5d/c transition early in the last glaciation similar to108 ky BP. Our results indicate that the Antarctic temperature increase occurred 2 ky before the methane increase, which is used as a time marker of the warming in the Northern Hemisphere. This result is in agreement with the bipolar seesaw'' mechanism used to explain the phase relationships documented between 23 and 90 ky BP [Blunier and Brook, 2001].</t>
  </si>
  <si>
    <t>CEA, CNRS, IPSL, Lab Sci Climat &amp; Environm, F-91191 Gif Sur Yvette, France; Univ Calif San Diego, Scripps Inst Oceanog, La Jolla, CA 92093 USA; CNRS, Lab Glaciol &amp; Geophys Environm, F-38402 St Martin Dheres, France; Univ Bern, CH-3012 Bern, Switzerland</t>
  </si>
  <si>
    <t>Universite Paris Saclay; CEA; Centre National de la Recherche Scientifique (CNRS); Universite Paris Cite; University of California System; University of California San Diego; Scripps Institution of Oceanography; Centre National de la Recherche Scientifique (CNRS); University of Bern</t>
  </si>
  <si>
    <t>Caillon, N (corresponding author), CEA, CNRS, IPSL, Lab Sci Climat &amp; Environm, F-91191 Gif Sur Yvette, France.</t>
  </si>
  <si>
    <t>ncaillon@ucsd.edu</t>
  </si>
  <si>
    <t>Chappellaz, Jérôme A./A-4872-2011; Blunier, Thomas/M-4609-2014; Caillon, Nicolas/B-7127-2019</t>
  </si>
  <si>
    <t>Blunier, Thomas/0000-0002-6065-7747; Caillon, Nicolas/0000-0002-6318-6194</t>
  </si>
  <si>
    <t>SEP 9</t>
  </si>
  <si>
    <t>10.1029/2003GL017838</t>
  </si>
  <si>
    <t>774ZJ</t>
  </si>
  <si>
    <t>WOS:000189016000004</t>
  </si>
  <si>
    <t>Karhu, JA; Taalas, P; Damski, J; Kaurola, J; Ginzburg, M; Villanueva, CA; Piacentini, E; Garcia, M</t>
  </si>
  <si>
    <t>Vertical distribution of ozone at Marambio, Antarctic Peninsula, during 1987-1999</t>
  </si>
  <si>
    <t>Marambio; polar ozone; polar vortex; stratospheric ozone; ozone depletion</t>
  </si>
  <si>
    <t>POLAR VORTEX; ANTHROPOGENIC CHLORINE; POTENTIAL VORTICITY; DEPLETION; AEROSOL; IMPACT; MIDLATITUDES; VARIABILITY; LATITUDES; TRENDS</t>
  </si>
  <si>
    <t>[1] The vertical distribution of ozone at Marambio (64degreesS, 56degreesW) has been studied using ozonesonde measurements for 1990-1999. Total ozone has been studied using Dobson spectrophotometer measurements for 1987-1999. Marambio is well placed to study the Antarctic ozone depletion mechanism because it is frequently located inside, outside, and in the edge region of the polar vortex and sees the early return of sunshine in late winter. The ozone data have been classified according to the location of the polar vortex with respect to Marambio. The vortex edge definition based on potential vorticity (PV) and its gradient has been compared to two other methods. The method used here gives better results than the use of predetermined PV limits or the use of maximum PV gradient only. The Marambio total ozone records have been compared to the 11-year ( 1957-1967) record of the nearby Argentine Islands (65degreesS, 64degreesW) to estimate long-term ozone changes over the Antarctic Peninsula. The largest decreases of ozone during 1987-1999 were observed in the lower stratosphere in July-August in the polar vortex edge region, as well as inside the vortex in September-October. Our analysis does not give indications of an ozone recovery so far. The Marambio data show that since the mid-1990s the magnitude of the seasonal ozone decline inside and in the edge region of the vortex has remained at roughly a constant level. Outside the vortex in September-December, as well as from midsummer to midwinter ( January-June), ozone levels have remained practically unchanged during the whole period from 1987 until 1999.</t>
  </si>
  <si>
    <t>Finnish Meteorol Inst, Sect Ozone &amp; UV Res, FIN-00101 Helsinki, Finland; Natl Meteorol Serv, RA-1002 Buenos Aires, DF, Argentina</t>
  </si>
  <si>
    <t>Finnish Meteorological Institute</t>
  </si>
  <si>
    <t>Karhu, JA (corresponding author), Finnish Meteorol Inst, Sect Ozone &amp; UV Res, POB 503, FIN-00101 Helsinki, Finland.</t>
  </si>
  <si>
    <t>JuhaA.Karhu@fmi.fi</t>
  </si>
  <si>
    <t>D17</t>
  </si>
  <si>
    <t>10.1029/2003JD001435</t>
  </si>
  <si>
    <t>774ZQ</t>
  </si>
  <si>
    <t>WOS:000189016600003</t>
  </si>
  <si>
    <t>Sigman, DM; Lehman, SJ; Oppo, DW</t>
  </si>
  <si>
    <t>Evaluating mechanisms of nutrient depletion and 13C enrichment in the intermediate-depth Atlantic during the last ice age -: art. no. 1072</t>
  </si>
  <si>
    <t>intermediate water; North Atlantic paleoceanography; carbon isotopes; ocean phosphate; Last Glacial Maximum; glacial ocean circulation</t>
  </si>
  <si>
    <t>OCEAN THERMOHALINE CIRCULATION; BENTHIC FORAMINIFERAL CD/CA; MILLENNIAL-SCALE CHANGES; SANTA-BARBARA BASIN; CARBON-ISOTOPE; NORTH-ATLANTIC; ANTARCTIC STRATIFICATION; EQUATORIAL ATLANTIC; WATER CIRCULATION; GLACIAL PACIFIC</t>
  </si>
  <si>
    <t>[1] Using an ocean box model, we have studied the effect of altered circulation on the oceanic distributions of phosphate (PO4(-3)) and the C-13/C-12 and C-14/C-12 of dissolved inorganic carbon to evaluate competing hypotheses for the cause of observed nutrient depletion and C-13 enrichment at intermediate depths of the Atlantic during the last ice age. Because of nutrient trapping'' and limited air-sea carbon isotopic equilibration, the simple imposition of an intense meridional overturning cell in the Atlantic fails to simultaneously lower nutrient concentrations and raise C-13/C-12 to observed glacial levels. Export of intermediate water out of the Atlantic causes a basin-to-basin nutrient transfer, thus providing a more efficient mechanism of intermediate-depth Atlantic nutrient depletion and improved carbon isotopic equilibration at low temperatures (i. e., C-13 enrichment). Although this export adds nutrients to the intermediate depths of the Pacific and Indian Oceans, the simulated glacial intermediate-depth Indo-Pacific is nevertheless moderately depleted in PO4(-3) relative to the model's interglacial control, in agreement with consensus paleoceanographic evidence. This Indo-Pacific PO4(-3) depletion results from our use of a glacial base case'' in which nutrient-rich Antarctic Intermediate Water formation is absent as part of the elimination of the modern North-Atlantic-Deep-Water-based conveyor'' circulation.</t>
  </si>
  <si>
    <t>Princeton Univ, Dept Geosci, Princeton, NJ 08544 USA; Univ Colorado, Inst Arctic &amp; Alpine Res, Boulder, CO 80309 USA; Woods Hole Oceanog Inst, Dept Geol &amp; Geophys, Clark Lab, Woods Hole, MA 02543 USA</t>
  </si>
  <si>
    <t>Princeton University; University of Colorado System; University of Colorado Boulder; Woods Hole Oceanographic Institution</t>
  </si>
  <si>
    <t>Princeton Univ, Dept Geosci, Princeton, NJ 08544 USA.</t>
  </si>
  <si>
    <t>sigman@princeton.edu; lehmans@spot.colorado.edu; doppo@whoi.edu</t>
  </si>
  <si>
    <t>Sigman, Daniel M./IYJ-2613-2023; Sigman, Daniel M./A-2649-2008</t>
  </si>
  <si>
    <t>Sigman, Daniel M./0000-0002-7923-1973</t>
  </si>
  <si>
    <t>SEP 4</t>
  </si>
  <si>
    <t>10.1029/2002PA000818</t>
  </si>
  <si>
    <t>722FR</t>
  </si>
  <si>
    <t>WOS:000185365200001</t>
  </si>
  <si>
    <t>Sokolov, S; Rintoul, SR</t>
  </si>
  <si>
    <t>Subsurface structure of interannual temperature anomalies in the Australian sector of the Southern Ocean</t>
  </si>
  <si>
    <t>Antarctic circumpolar wave; Southern Ocean; Antarctic circumpolar current; interannual variability; decadal variability; sea surface temperature anomaly</t>
  </si>
  <si>
    <t>ANTARCTIC CIRCUMPOLAR WAVE; SEA-ICE EXTENT; VARIABILITY; 140-DEGREES-E; PRECIPITATION; OSCILLATION; MECHANISM; MODEL</t>
  </si>
  <si>
    <t>A 7 year time series of austral summer expendable bathythermograph (XBT) sections between Tasmania and Antarctica is used to describe the subsurface structure of Southern Ocean interannual temperature anomalies. Comparison of the discontinuous XBT record with a continuous (weekly average) satellite-based SST data set confirms that the XBT sampling is adequate to resolve interannual variability. Significant correlations are found between changes in surface and subsurface temperature along much of the section. In the Subantarctic zone, surface and subsurface changes are coherent because deep convection in winter homogenizes the upper 600 m, and the summer mixed layer temperature reflects the preconditioning of the previous winter. At other latitudes the regions of high correlation generally extend well beyond the depth of direct atmospheric influence (i.e., the depth of the winter mixed layer). Negative (positive) temperature anomalies at interannual timescales are coherent with poleward (equatorward) displacements of fronts. The simplest explanation for the correspondence between deep, vertically coherent temperature anomalies and the location of ACC fronts is that the observed features reflect meridional shifts of temperature gradients associated with the fronts. The link between temperature anomalies and front displacements suggests Southern Ocean sea surface temperature (SST) anomalies primarily reflect a dynamical response of the ocean to wind or other forcing rather than surface-trapped features produced by anomalous air-sea heat flux. The XBT record contains both interannual and longer (unresolved) period signals, which cannot be isolated in the short discontinuous XBT time series. Spectral analysis of the 17 year SST data set reveals roughly equal variability in 2-7 year and &gt;7 year bands.</t>
  </si>
  <si>
    <t>CSIRO, Marine Res &amp; Antarctic Cooperat Res Ctr, Hobart, Tas, Australia</t>
  </si>
  <si>
    <t>Commonwealth Scientific &amp; Industrial Research Organisation (CSIRO)</t>
  </si>
  <si>
    <t>CSIRO, Marine Res &amp; Antarctic Cooperat Res Ctr, GPO Box 1538, Hobart, Tas, Australia.</t>
  </si>
  <si>
    <t>serguei.sokolov@marine.csiro.au; steve.rintoul@marine.csiro.au</t>
  </si>
  <si>
    <t>Rintoul, Stephen R/A-1471-2012; Sokolov, Serguei/A-4882-2008</t>
  </si>
  <si>
    <t>Rintoul, Stephen R/0000-0002-7055-9876;</t>
  </si>
  <si>
    <t>SEP 3</t>
  </si>
  <si>
    <t>10.1029/2002JC001494</t>
  </si>
  <si>
    <t>722ER</t>
  </si>
  <si>
    <t>WOS:000185362900001</t>
  </si>
  <si>
    <t>Eriksson, C; Burton, H</t>
  </si>
  <si>
    <t>Origins and biological accumulation of small plastic particles in fur seals from Macquarie Island</t>
  </si>
  <si>
    <t>AMBIO</t>
  </si>
  <si>
    <t>MARINE DEBRIS; NORTH PACIFIC; DIET; LITTER; COASTAL; INGESTION; SEABIRDS; GRANULES; BEACHES; SURFACE</t>
  </si>
  <si>
    <t>One hundred and sixty four plastic particles (mean length 4.1 mm) recovered from the scats of fur seals (Arctocephalus spp.) on Macquarie Island were examined. Electron micrographs of 41 of the plastic particles showed that none could be identified as plastic pellet feedstock from their shapes. Commonly, such pellets are cylindrical and spherical. Instead, all the 164 plastic particles from the seal scats were angular particles of 7 colors (feedstock particles are normally opaque or white) and could be classified into 2 categories: i) fragmented along crystal lines and likely to be the result of UV breakdown; and ii) worn by abrasion (where striations were clearly visible) into irregular shapes with rounded corners. White, brown, green, yellow and blue were the most common colors. In composition, they came from 5 polymer groups; polyethylene 93%, polypropylene 4%, poly(1-Cl-1-butenylene) polychloroprene 2%, melamine-urea (phenol) (formaldehyde) resin 0.5%, and cellulose (rope fiber) 0.5%. The larger groups are buoyant with a specific gravity less than that of seawater. These small plastic particles are formed from the breakdown of larger particles (fragments). Their origin seems to be from the breakdown of user plastics washed ashore and ground down on cobbled beaches. Certainly most particles (70%) had attained their final form by active abrasion. It is hypothesized that the plastic particles were washed out to sea and then selected by size and consumed by individuals of a pelagic fish species, Electrona subaspera, who in turn were consumed by the fur seals. Thus, the particles were accumulated both by the fish and the seals in the usual process of their feeding.</t>
  </si>
  <si>
    <t>Australian Antarctic Div, Kingston, ON, Canada</t>
  </si>
  <si>
    <t>Eriksson, C (corresponding author), 1 Mary St, Hobart, Tas 7000, Australia.</t>
  </si>
  <si>
    <t>ROYAL SWEDISH ACAD SCIENCES</t>
  </si>
  <si>
    <t>STOCKHOLM</t>
  </si>
  <si>
    <t>PUBL DEPT BOX 50005, S-104 05 STOCKHOLM, SWEDEN</t>
  </si>
  <si>
    <t>0044-7447</t>
  </si>
  <si>
    <t>Ambio</t>
  </si>
  <si>
    <t>SEP</t>
  </si>
  <si>
    <t>10.1639/0044-7447(2003)032[0380:OABAOS]2.0.CO;2</t>
  </si>
  <si>
    <t>Engineering, Environmental; Environmental Sciences</t>
  </si>
  <si>
    <t>Engineering; Environmental Sciences &amp; Ecology</t>
  </si>
  <si>
    <t>737BE</t>
  </si>
  <si>
    <t>WOS:000186207900002</t>
  </si>
  <si>
    <t>Riddle, MJ; Chapman, PM</t>
  </si>
  <si>
    <t>Polar Ecotoxicology - a missing link</t>
  </si>
  <si>
    <t>ANTARCTIC SCIENCE</t>
  </si>
  <si>
    <t>40 WEST 20TH ST, NEW YORK, NY 10011-4221 USA</t>
  </si>
  <si>
    <t>0954-1020</t>
  </si>
  <si>
    <t>ANTARCT SCI</t>
  </si>
  <si>
    <t>Antarct. Sci.</t>
  </si>
  <si>
    <t>10.1017/S0954102003001433</t>
  </si>
  <si>
    <t>Environmental Sciences; Geography, Physical; Geosciences, Multidisciplinary</t>
  </si>
  <si>
    <t>Environmental Sciences &amp; Ecology; Physical Geography; Geology</t>
  </si>
  <si>
    <t>725LD</t>
  </si>
  <si>
    <t>WOS:000185543900001</t>
  </si>
  <si>
    <t>Pearce, DA; Wilson, WH</t>
  </si>
  <si>
    <t>Viruses in Antarctic ecosystems</t>
  </si>
  <si>
    <t>bacterioplankton; biodiversity; community structure; virioplankton; virus</t>
  </si>
  <si>
    <t>BACTERIAL COMMUNITY COMPOSITION; CHESAPEAKE-BAY VIRIOPLANKTON; MARINE MICROBIAL COMMUNITIES; SPILOPSYLLUS-CUNICULI DALE; INFECTIOUS BURSAL DISEASE; POLYMERASE-CHAIN-REACTION; MACQUARIE ISLAND; RABIES VIRUS; SOUTHERN-OCEAN; GEL-ELECTROPHORESIS</t>
  </si>
  <si>
    <t>This review seeks to highlight the potential importance of viruses in Antarctic ecosystems and describe the limited scope of Antarctic virus studies to date, including studies of marine, terrestrial and freshwater communities. Although much of the existing work focuses on the microbial community, there are also studies of virus infection in Antarctic animal and plant populations. We describe methodologies available for the study of viral ecology in the field and in calling for a more intensive research effort discuss how microbial ecology might benefit from the study of viruses in Antarctic ecosystems.</t>
  </si>
  <si>
    <t>British Antarctic Survey, NERC, Cambridge CB3 0ET, England; Plymouth Marine Lab, Plymouth PL1 3DH, Devon, England; Marine Biol Assoc UK, Plymouth PL1 2PB, Devon, England</t>
  </si>
  <si>
    <t>UK Research &amp; Innovation (UKRI); Natural Environment Research Council (NERC); NERC British Antarctic Survey; Plymouth Marine Laboratory; Marine Biological Association United Kingdom</t>
  </si>
  <si>
    <t>Pearce, DA (corresponding author), British Antarctic Survey, NERC, High Cross,Madingley Rd, Cambridge CB3 0ET, England.</t>
  </si>
  <si>
    <t>Pearce, David/0000-0001-5292-4596</t>
  </si>
  <si>
    <t>10.1017/S0954102003001330</t>
  </si>
  <si>
    <t>WOS:000185543900002</t>
  </si>
  <si>
    <t>Hunt, BM; Hoefling, K; Cheng, CHC</t>
  </si>
  <si>
    <t>Annual warming episodes in seawater temperatures in McMurdo Sound in relationship to endogenous ice in notothenioid fish</t>
  </si>
  <si>
    <t>annual temperature records; Antarctica; dynamic temperature excursions; endogenous ice disposal</t>
  </si>
  <si>
    <t>ANTIFREEZE GLYCOPROTEIN; AMERICANUS; EVOLUTION</t>
  </si>
  <si>
    <t>We obtained two years (1999-2001) of continuous, high resolution temperature and pressure data at two near-shore shallow water sites in McMurdo Sound, Ross Sea. Contrary to the long-held assumption of constant freezing conditions in the Sound, these records revealed dynamic temperature fluctuations and substantial warming during January to March reaching peak water temperatures of about -0.5degreesC. They also revealed that excursions above -1.1degreesC, the equilibrium melting point of ice in Antarctic notothenioid fish, totalled 8-21 days during the summer. Microscopic ice crystals are known to enter these fish but ice growth is arrested by antifreeze proteins. Prior to this study there were no known mechanisms of eliminating accumulated endogenous ice. The warm temperature excursions provide for the first time a possible physical mechanism, passive melting, for ice removal. The continuous records also showed a correlation between tidal pressures and cold temperature episodes, which suggests the influx of cold currents from under the Ross Ice Shelf may provide a mechanism for ice crystal nucleation as the source of the ice in McMurdo Sound fish. The accumulation of anchor ice on one logger caused it to float up which was recorded as a decrease in pressure. This is the first evidence for the time of onset of anchor ice formation in McMurdo Sound.</t>
  </si>
  <si>
    <t>Univ Illinois, Dept Biol Anim, Urbana, IL 61801 USA</t>
  </si>
  <si>
    <t>University of Illinois System; University of Illinois Urbana-Champaign</t>
  </si>
  <si>
    <t>Cheng, CHC (corresponding author), Univ Illinois, Dept Biol Anim, Urbana, IL 61801 USA.</t>
  </si>
  <si>
    <t>10.1017/S0954102003001342</t>
  </si>
  <si>
    <t>WOS:000185543900003</t>
  </si>
  <si>
    <t>McClintock, JB; Mahon, AR; Peters, KJ; Amsler, CD; Baker, BJ</t>
  </si>
  <si>
    <t>Chemical defences in embryos and juveniles of two common Antarctic sea stars and an isopod</t>
  </si>
  <si>
    <t>Antarctic Peninsula; Asteroidea; Crustacea; feeding deterrence; lecithotroph</t>
  </si>
  <si>
    <t>LARVAE; PALATABILITY; INVERTEBRATES; ECOLOGY; SOUND; EGGS</t>
  </si>
  <si>
    <t>The brooded embryos and/or juveniles of the sea stars Neosmilaster georgianus (Studer, 1885) and Lysasterias perrieri (Studer, 1885) and the isopod Glyptonotus antarcticus (Eights, 1853) were examined for their acceptability using the sympatric sea star Odontaster validus (Koehler, 1906) as a predator. Organic extracts were prepared from embryos of both sea stars and juveniles of Lyasterias perrieri and Glyptonotus antarcticus and tested in alginate food pellets to confirm whether lack of acceptability was chemically based. We found both intact whole embryos and juveniles of the sea star Neosmilaster georgianus were not acceptable to Odontaster validus. A methanol extract of the embryos was palatable. This could be the result of either the sequestration of deterrent chemicals within embryos or the presence of noxious compounds that were not extractable in methanol. Embryos and juveniles of the sea star Lysasterias perrieri were not acceptable to sea stars. Food pellets containing methanol extracts of unacceptable embryos were deterrent against sea stars, suggesting a chemical defence. Juvenile brooded isopods (Glyptonotus antarcticus) were also found to be unacceptable in sea star feeding bioassays. Significant rejection of alginate pellets containing a lipophilic dichloromethane methanol extract of juveniles indicated that this lack of acceptability was chemically based. Our study provides further support for chemical defences in the offspring of brooding lecithotrophic Antarctic marine invertebrates.</t>
  </si>
  <si>
    <t>Univ Alabama Birmingham, Dept Biol, Birmingham, AL 35294 USA; Univ S Florida, Dept Chem, Tampa, FL 33620 USA</t>
  </si>
  <si>
    <t>University of Alabama System; University of Alabama Birmingham; State University System of Florida; University of South Florida</t>
  </si>
  <si>
    <t>Univ Alabama Birmingham, Dept Biol, Birmingham, AL 35294 USA.</t>
  </si>
  <si>
    <t>mcclinto@uab.edu</t>
  </si>
  <si>
    <t>Baker, Bill/N-4312-2019</t>
  </si>
  <si>
    <t>Mahon, Andrew/0000-0002-5074-8725; Amsler, Charles/0000-0002-4843-3759</t>
  </si>
  <si>
    <t>32 AVENUE OF THE AMERICAS, NEW YORK, NY 10013-2473 USA</t>
  </si>
  <si>
    <t>1365-2079</t>
  </si>
  <si>
    <t>10.1017/S0954102003001354</t>
  </si>
  <si>
    <t>WOS:000185543900004</t>
  </si>
  <si>
    <t>Reyes, MA; Corcuera, LJ; Cardemil, L</t>
  </si>
  <si>
    <t>Accumulation of HSP70 in Deschampsia antarctica Desv. leaves under thermal stress</t>
  </si>
  <si>
    <t>Antarctic plants; cold acclimation; heat shock proteins; LT50; thermotolerance</t>
  </si>
  <si>
    <t>HEAT-SHOCK PROTEINS; HIGH-TEMPERATURE STRESS; MOLECULAR CHAPERONES; VASCULAR PLANTS; COLOBANTHUS-QUITENSIS; COLD; EXPRESSION; SPINACH; FAMILY; ACCLIMATION</t>
  </si>
  <si>
    <t>The aim of this study was to evaluate the hypothesis that Deschampsia antarctica Desv., the only grass of the Maritime Antarctic, responds to temperatures higher or lower than its optimum for photosynthesis (13degreesC), with the accumulation of heat shock proteins. The LT50 was determined in plants acclimated at 4degreesC (cold-acclimated plants) and in plants grown at 13degreesC (control plants) by membrane damage and by the activity of respiratory dehydrogenases. The LT50 was 48.3degreesC in both groups of plants when determined by membrane damage. When the LT50 was determined by the activity of respiratory dehydrogenases, this was, without significant difference, 47.8degreesC in cold-acclimated plants and 46.5degreesC in control plants. Western blot analyses were performed to investigate the accumulation of HSP70 at different temperatures. The optimal temperature for HSP70 accumulation was 35degreesC in cold-acclimated and control plants. Cold-acclimated plants subjected to a thermal stress of 35degreesC accumulated HSP70 protein more than control plants subjected to 35degreesC. After eight hours of continuous stress at 35degreesC, the maximum relative content of HSP70 in cold-acclimated plants was 1.9 fold higher than control plants. The threshold temperature for HSP70 accumulation was lower in cold-acclimated plants than in control plants. It is concluded that D. antarctica is able to tolerate heat stress with an LT50 similar to those of heat tolerant plants and that the cold-acclimated plants accumulate higher levels of HSP70 than those grown at 13degreesC.</t>
  </si>
  <si>
    <t>Univ Chile, Fac Ciencias, Dept Biol, Santiago, Chile; Univ Concepcion, Dept Bot, Fac Ciencias Nat &amp; Oceanog, Concepcion, Chile</t>
  </si>
  <si>
    <t>Universidad de Chile; Universidad de Concepcion</t>
  </si>
  <si>
    <t>Univ Chile, Fac Ciencias, Dept Biol, Casilla 653, Santiago, Chile.</t>
  </si>
  <si>
    <t>lcorcuer@udec.cl</t>
  </si>
  <si>
    <t>Corcuera, Luis J/G-1714-2014</t>
  </si>
  <si>
    <t>Cardemil, Liliana/0000-0003-3496-1101</t>
  </si>
  <si>
    <t>10.1017/S0954102003001366</t>
  </si>
  <si>
    <t>WOS:000185543900005</t>
  </si>
  <si>
    <t>Riaux-Gobin, C; Poulin, M; Prodon, R; Tregilier, P</t>
  </si>
  <si>
    <t>Land-fast ice microalgal and phytoplanktonic communities (Adelie Land, Antarctica) in relation to environmental factors during ice break-up</t>
  </si>
  <si>
    <t>diatoms communities; nutrients; phytoplankton; polar; sea ice</t>
  </si>
  <si>
    <t>SEA-ICE; WEDDELL SEA; MICROBIAL COMMUNITIES; PRIMARY PRODUCTIVITY; VERTICAL ZONATION; PLATELET LAYER; ALGAL BIOMASS; MCMURDO-SOUND; BOTTOM ICE; DIATOMS</t>
  </si>
  <si>
    <t>Annual land-fast ice, particularly an unconsolidated layer or platelet ice-like layer (PLI), was sampled in spring 1995 to study the spatial and short-term variations of ice-associated diatoms. Under-ice water, a lead and small polynyas were also sampled. Along a 7 km seaward transect a geographical gradient was evident, with some rare diatom species present only in the offshore PLI, whereas others (mainly pennate diatoms) were ubiquitous. The dense microphytic PLI community as well as the phytoplankton was diatom-dominated, but, within these two communities, marked differences appeared. First, the sea-ice communities (PLI and solid bottom ice) were moderately diverse (36 species), mostly composed of pennate diatoms, of which many were chain forming or tube-dwelling. Dominant taxa were Navicula glaciei, Berkeleya adeliensis, Nitzschia stellata, Amphiprora kufferathii and Nitzschia lecointei. Some differences in the distribution of the most dominant species appeared within the bottom ice and the PLI, attesting to differences in the origin or/and growing capability of these diatoms in these two ice compartments. Under-ice water species composition was mixed with sea-ice communities only on the most coastal sites and during ice melt. Maximum cell numbers were mostly noticed in the PLI, reaching up to 10(10) cells l(-1) and very high Chl a concentrations (exceptionally up to 9.8 mg Chl a l(-1) or 1.9 g Chl a m(-2), from a 10 to 20 cm thick PLI layer, close to the continent). Secondly, the phytoplankton in the lead and small polynyas had a low diversity, very low standing stocks (on an average 0.69 mug Chl a l(-1)) and cell densities (2 x 10(4) cells l(-1)). Some species from the polynyas were similar to those of the PLI, such as Navicula glaciei, but others were typically planktonic, such as Chaetoceros cf. neglectus. The presence of encysted cells (Chaetoceros and Chrysophytes) was also noticeable in the polynya water. In early spring no seeding process was obvious from the PLI to polynya water. A comparison with similar fast-ice diatom communities in other parts of coastal Antarctica, is presented.</t>
  </si>
  <si>
    <t>CNRS, UMR 7621, Lab Oceanog Biol, Lab Arago, F-66651 Banyuls sur Mer, France; Canadian Museum Nat, Div Res, Ottawa, ON K1P 6P4, Canada; Univ Montpellier 2, EPHE, Lab Biogeog &amp; Ecol Vertebres, F-34095 Montpellier, France; IUEM, CNRS, UMR 6539, F-29280 Plouzane, France</t>
  </si>
  <si>
    <t>Centre National de la Recherche Scientifique (CNRS); CNRS - National Institute for Earth Sciences &amp; Astronomy (INSU); Universite de Montpellier; Universite PSL; Ecole Pratique des Hautes Etudes (EPHE); Universite de Bretagne Occidentale; Institut Universitaire Europeen de la Mer (IUEM); Centre National de la Recherche Scientifique (CNRS); CNRS - Institute of Ecology &amp; Environment (INEE); Ifremer; Institut de Recherche pour le Developpement (IRD)</t>
  </si>
  <si>
    <t>Riaux-Gobin, C (corresponding author), CNRS, UMR 7621, Lab Oceanog Biol, Lab Arago, BP 44, F-66651 Banyuls sur Mer, France.</t>
  </si>
  <si>
    <t>10.1017/S0954102003001378</t>
  </si>
  <si>
    <t>WOS:000185543900006</t>
  </si>
  <si>
    <t>Bloemendal, J; Ehrmann, W; Hambrey, MJ; McKelvey, BC; Matthews, R; Whitehead, JM</t>
  </si>
  <si>
    <t>Geochemical and rock magnetic records from sediments of the Cenozoic Pagodroma Group, Prince Charles Mountains, East Antarctica: implications for provenance and weathering</t>
  </si>
  <si>
    <t>Antarctica; Cenozoic glaciomarine sediments; East Antarctic ice sheet; magnetic and geochemical properties; Pagodroma Group</t>
  </si>
  <si>
    <t>BAINMEDART COAL MEASURES; PRYDZ BAY; AMERY OASIS; ICE-SHEET; GLACIER; STRATIGRAPHY; DIATOMS; SHELF; BASIN; LAND</t>
  </si>
  <si>
    <t>Geochemical and magnetic data from glacigenic sediments can be useful indicators of past environments and climate. In this paper, the results of X-ray fluorescence (XRF) and rock magnetic analyses are presented for samples from the Pagodroma Group, an assemblage of pre-Quaternary glacimarine sediments preserved as remnants along the raised flanks of the Lambert Graben, Prince Charles Mountains, East Antarctica. Samples were obtained from four formations: Mount Johnston, Battye Glacier, Fisher Bench and Bardin Bluffs, which range in age from late Oligocene or early Miocene through to Pliocene or early Pleistocene. Principal component analysis of the XRF data indicates the occurrence of two main element assemblages, which we infer are determined by the presence in the Bardin Bluffs formation of a significant component derived from Permo-Triassic sedimentary rocks of the Amery Group. Calculation of chemical indices of alteration suggests that the values reflect provenance differences rather than the syndepositional weathering environment. Multidomain ferrimagnetic grains mainly dominate the magnetic mineral assemblages of the samples, probably magnetite, with varying concentrations of high coercivity material, probably hematite.</t>
  </si>
  <si>
    <t>Univ Liverpool, Dept Geog, Liverpool L69 3BX, Merseyside, England; Univ Leipzig, Inst Geophys &amp; Geol, D-04193 Leipzig, Germany; Univ Wales, Inst Geog &amp; Earth Sci, Ctr Glaciol, Aberystwyth SY23 3DB, Dyfed, Wales; Univ New England, Sch Phys Sci, Div Earth Sci, Armidale, NSW 2351, Australia; Univ Nebraska, Dept Geosci, Lincoln, NE 68588 USA; Univ Tasmania, Inst Antarctic &amp; So Ocean Studies, Hobart, Tas 7001, Australia; Univ Tasmania, Antarctic Cooperat Res Ctr, Hobart, Tas 7001, Australia</t>
  </si>
  <si>
    <t>University of Liverpool; Leipzig University; Aberystwyth University; University of New England; University of Nebraska System; University of Nebraska Lincoln; University of Tasmania; University of Tasmania</t>
  </si>
  <si>
    <t>Bloemendal, J (corresponding author), Univ Liverpool, Dept Geog, Roxby Bldg, Liverpool L69 3BX, Merseyside, England.</t>
  </si>
  <si>
    <t>10.1017/S095410200300138X</t>
  </si>
  <si>
    <t>WOS:000185543900007</t>
  </si>
  <si>
    <t>Bauer, W; Fielitz, W; Jacobs, J; Fanning, CM; Spaeth, G</t>
  </si>
  <si>
    <t>Mafic Dykes from Heimefrontfjella and implications for the post-Grenvillian to pre-Pan-African geological evolution of western Dronning Maud Land, Antarctica</t>
  </si>
  <si>
    <t>geochemistry; Maud Belt; tholeiitic dykes; U-Pb zircon SHRIMP data</t>
  </si>
  <si>
    <t>U-PB AGES; ZIRCON AGE; EAST ANTARCTICA; GEOCHEMISTRY; RODINIA; DISCRIMINATION; INTRUSIONS; TECTONICS; MAGMATISM; ROCKS</t>
  </si>
  <si>
    <t>Two groups of geochemical different dykes have been identified in the Grenville-aged basement of Heimefrontfjella. The first group comprises dykes of continental tholeiite composition which probably intruded during the final stage of indentation of the Kaapvaal-Grunehogna Craton into Laurentia. One dyke of this group yielded an U-Pb zircon SHRIMP age of 1033 +/- 7 Ma. The second group has an E-type MORB composition and may be related to ocean floor basalts of the Mozambique Ocean between East and West Gondwana. A preliminary U-Pb SHRIMP age of 586 +/- 7 Ma for a single zircon crystal was obtained from a dyke of the second group. During the Pan-African orogeny both dyke groups underwent metamorphism and tectonism at different grades: up to amphibolite-facies in the eastern and southern Heimefrontfjella, and at greenschist-facies in the western and northern Heimefrontfjella. The older dykes may be correlated with the Equeefa suite of southern Natal whereas the younger dyke group is not correlatable with any known mafic intrusions or lava flows in adjacent regions.</t>
  </si>
  <si>
    <t>Rhein Westfal TH Aachen, Inst Geol, D-52056 Aachen, Germany; Univ TH Karlsruhe, Inst Geol, D-76133 Karlsruhe, Germany; Univ Bremen, FB Geowissensch, D-28334 Bremen, Germany; Australian Natl Univ, Res Sch Earth Sci, Canberra, ACT 0200, Australia</t>
  </si>
  <si>
    <t>RWTH Aachen University; Helmholtz Association; Karlsruhe Institute of Technology; University of Bremen; Australian National University</t>
  </si>
  <si>
    <t>Rhein Westfal TH Aachen, Inst Geol, D-52056 Aachen, Germany.</t>
  </si>
  <si>
    <t>bauer@geol.rwth-aachen.de</t>
  </si>
  <si>
    <t>10.1017/S0954102003001391</t>
  </si>
  <si>
    <t>WOS:000185543900008</t>
  </si>
  <si>
    <t>Curtis, ML; Riley, TR</t>
  </si>
  <si>
    <t>Mobilization of fluidized sediment during sill emplacement, western Dronning Maud Land, East Antarctica</t>
  </si>
  <si>
    <t>Ahlmannryggen; Borgmassivet Intrusions; clastic dyke; Ritscherflya Supergroup</t>
  </si>
  <si>
    <t>WET SEDIMENTS; GRUNEHOGNA; PEPERITE; AGE</t>
  </si>
  <si>
    <t>Large mafic sills in the Ahlmannryggen region of western Dronning Maud Land were intruded into partially lithified sediments of the mid-Proterozoic Ritscherflya Supergroup. Clastic sedimentary dykes intruding the thick mafic sills have been identified, and show evidence for fluidization of the partially lithified sediments. Previous work had demonstrated in situ fluidization and localized anatectic melting. This study demonstrates mobilization of the fluidized sediments, with penetration at least 50 in into the fractured, intruding sill. Physical features within the clastic dykes (e.g. sediment balls, flame structures) suggest that the sediments were largely unconsolidated, or at most only partially lithified. The presence of a thin zone of anatectic melt along the dyke-sill contact suggests that the mafic sill was still hot (c. 700degreesC) at the time of sedimentary dyke injection.</t>
  </si>
  <si>
    <t>Curtis, ML (corresponding author), British Antarctic Survey, NERC, High Cross,Madingley Rd, Cambridge CB3 0ET, England.</t>
  </si>
  <si>
    <t>Curtis, Mike/HKV-6176-2023</t>
  </si>
  <si>
    <t>Riley, Teal/0000-0002-3333-5021</t>
  </si>
  <si>
    <t>10.1017/S0954102003001408</t>
  </si>
  <si>
    <t>WOS:000185543900009</t>
  </si>
  <si>
    <t>Rivaro, P; Frache, R; Bergamasco, A; Hohmann, R</t>
  </si>
  <si>
    <t>Dissolved Oxygen, NO and PO as tracers for Ross Sea Ice Shelf Water overflow</t>
  </si>
  <si>
    <t>chemical characterization; Ross Sea; shelf-slope interactions; water masses</t>
  </si>
  <si>
    <t>HELIUM</t>
  </si>
  <si>
    <t>A mesoscale experiment was conducted in the Ross Sea near the shelf break in summer 1997-98 within the framework of the activities of the CLIMA Project of the Italian National Program for Antarctic Research (PNRA), focus on study the shelf-slope interaction between the shelf waters and the CDW in correspondence of the Antarctic Slope Front. This paper deals with the dissolved oxygen distribution and with the application of conservative tracers NO and PO related to the physical variables, improving understanding of mixing processes study in correspondence of the shelf break. Experimental data showed the presence of both Ice Shelf Water overflowing the shelf and Circumpolar Deep Water intruding onto the shelf. Dissolved Oxygen (DO), NO and PO resulted useful as chemical tracers in outlining the mixing processes and bottom water formation spreading off continental shelf break of the Ross Sea, in which seems to be evidence that ISW plays an important role. In fact, a plume of ISW was observed flowing down the continental slope to the deep ocean. From chemical tracers we estimate its magnitude to be about 0.4 +/- 0.2 Sv.</t>
  </si>
  <si>
    <t>Univ Genoa, Dept Chem &amp; Ind Chem, I-16146 Genoa, Italy; CNR, Inst Study Dynam Large Masses, I-30125 Venice, Italy; Columbia Univ, Lamont Doherty Geol Observ, Palisades, NY 10964 USA</t>
  </si>
  <si>
    <t>University of Genoa; Consiglio Nazionale delle Ricerche (CNR); Columbia University</t>
  </si>
  <si>
    <t>Univ Genoa, Dept Chem &amp; Ind Chem, Via Dodecaneso 31, I-16146 Genoa, Italy.</t>
  </si>
  <si>
    <t>Rivaro, Paola/I-8305-2012</t>
  </si>
  <si>
    <t>Bergamasco, Alessandro/0000-0003-3138-8418</t>
  </si>
  <si>
    <t>10.1017/S095410200300141X</t>
  </si>
  <si>
    <t>WOS:000185543900010</t>
  </si>
  <si>
    <t>Bergamasco, A; Defendi, V; Del Negro, P; Umani, SF</t>
  </si>
  <si>
    <t>Effects of the physical properties of water masses on microbial activity during an Ice Shelf Water overflow in the central Ross Sea</t>
  </si>
  <si>
    <t>Antarctica; Circumpolar Deep Water; ectoenzymatic activity; oceanography; shelf/slope edge; water masses characterization</t>
  </si>
  <si>
    <t>PARTICULATE ORGANIC-MATTER; SOUTHERN WEDDELL SEA; DENSE WATER; ANTARCTICA; DYNAMICS; OCEAN; PHYTOPLANKTON; OCEANOGRAPHY; CIRCULATION; BENEATH</t>
  </si>
  <si>
    <t>During the 1997-98 Italian Expedition to Antarctica a five-day mesoscale experiment was carried out on the continental shelf-break in the central Ross Sea. This area is oceanographically characterized by shelf/slope interactions, through intense mixing processes, between the Circumpolar Deep Water (CDW) and the Ice Shelf Water (ISW), coming from beneath the Ross Ice Shelf and spilling over the shelf edge. The export of dense shelf waters is of crucial importance not only for the mass balance of the basin, but also for carbon export from the upper layers into the abyssal ones. The study investigated how the ISW interactions with the CDW may influence bacterial metabolism during an ISW downslope event. In particular, what effect does this have on the bacterial activities related to the utilization and transformation of the organic carbon substrate (ectoenzymatic activities, carbon production, growth rate) within the ISW and the CDW cores? Our data show that in the CDW the metabolic response was to increase the biomass and enzymes were less active due to a higher nutritional value for the substrate. In the ISW the bacterial metabolic activity shifted towards degradative processes. These results suggest differences in the quality of the organic carbon pool with a greater concentration of labile organic matter in the CDW and of low-degradable compounds in the ISW. The use of microbial parameters seems to be very promising in the evaluation of the carbon export during mixing processes, when the refractory fraction of the organic carbon pool might play a key role.</t>
  </si>
  <si>
    <t>CNR, Inst Marine Sci, I-30125 Venice, Italy; Marine Biol Lab, I-34010 Trieste, Italy</t>
  </si>
  <si>
    <t>Consiglio Nazionale delle Ricerche (CNR); Istituto di Scienze Marine (ISMAR-CNR)</t>
  </si>
  <si>
    <t>Defendi, V (corresponding author), CNR, Inst Marine Sci, San Polo 1364, I-30125 Venice, Italy.</t>
  </si>
  <si>
    <t>Fonda, Serena/H-6753-2012</t>
  </si>
  <si>
    <t>DEL NEGRO, Paola/0000-0003-2465-4896; Bergamasco, Alessandro/0000-0003-3138-8418</t>
  </si>
  <si>
    <t>10.1017/S0954102003001421</t>
  </si>
  <si>
    <t>WOS:000185543900011</t>
  </si>
  <si>
    <t>Taton, A; Grubisic, S; Brambilla, E; De Wit, R; Wilmotte, A</t>
  </si>
  <si>
    <t>Cyanobacterial diversity in natural and artificial microbial mats of Lake Fryxell (McMurdo dry valleys, Antarctica): A morphological and molecular approach</t>
  </si>
  <si>
    <t>APPLIED AND ENVIRONMENTAL MICROBIOLOGY</t>
  </si>
  <si>
    <t>16S RIBOSOMAL-RNA; SEQUENCE-ANALYSIS; SPACER SEQUENCES; 4 CONTINENTS; BIODIVERSITY; PHYLOGENY; STRAINS; SAMPLES; GENE; PCR</t>
  </si>
  <si>
    <t>Currently, there is no consensus concerning the geographic distribution and extent of endemism in Antarctic cyanobacteria. In this paper we describe the phenotypic and genotypic diversity of cyanobacteria in a field microbial mat sample from Lake Fryxell and in an artificial cold-adapted sample cultured in a benthic gradient chamber (BGC) by using an inoculum from the same mat. Light microscopy and molecular tools, including 16S rRNA gene clone libraries, denaturing gradient gel electrophoresis, and sequencing, were used. For the first time in the study of cyanobacterial diversity of environmental samples, internal transcribed spacer (ITS) sequences were retrieved and analyzed to complement the information obtained from the 16S rRNA gene. Microscopy allowed eight morphotypes to be identified, only one of which is likely to be an Antarctic endemic morphotype. Molecular analysis, however, revealed an entirely different pattern. A much higher number of phylotypes (15 phylotypes) was found, but no sequences from Nodularia and Hydrocoryne, as observed by microscopy, were retrieved. The 16S rRNA gene sequences determined in this study were distributed in 11 phylogenetic lineages, 3 of which were exclusively Antarctic and 2 of which were novel. Collectively, these Antarctic sequences together with all the other polar sequences were distributed in 22 lineages, 9 of which were exclusively Antarctic, including the 2 novel lineages observed in this study. The cultured BGC mat had lower diversity than the field mat. However, the two samples shared three morphotypes and three phylotypes. Moreover, the BGC mat allowed enrichment of one additional phylotype. ITS sequence analysis revealed a complex signal that was difficult to interpret. Finally, this study provided evidence of molecular diversity of cyanobacteria in Antarctica that is much greater than the diversity currently known based on traditional microscopic analysis. Furthermore, Antarctic endemic species were more abundant than was estimated on the basis of morphological features. Decisive arguments concerning the global geographic distribution of cyanobacteria should therefore incorporate data obtained with the molecular tools described here.</t>
  </si>
  <si>
    <t>Univ Liege, Inst Chim B6, Ctr Ingn Prot, B-4000 Liege, Belgium; Univ Liege, Inst Bot B22, Lab Algol Mycol &amp; Systemat Expt, B-4000 Liege, Belgium; Deutsch Sammlung Mikroorganismen &amp; Zellkulturen, D-38124 Braunschweig, Germany; CNRS, UMR 5805, Lab Oceanog Biol, F-33120 Arcachon, France; Univ Bordeaux 1, F-33120 Arcachon, France</t>
  </si>
  <si>
    <t>University of Liege; University of Liege; Leibniz Institut fur Deutsche Sammlung von Mikroorganismen und Zellkulturen (DSMZ); Centre National de la Recherche Scientifique (CNRS); CNRS - National Institute for Earth Sciences &amp; Astronomy (INSU); Universite de Bordeaux</t>
  </si>
  <si>
    <t>Univ Liege, Inst Chim B6, Ctr Ingn Prot, B-4000 Liege, Belgium.</t>
  </si>
  <si>
    <t>awilmotte@ulg.ac.be</t>
  </si>
  <si>
    <t>De Wit, Rutger/KBD-4717-2024; Wilmotte, Annick/H-1686-2011</t>
  </si>
  <si>
    <t>Wilmotte, Annick/0000-0003-3546-3489</t>
  </si>
  <si>
    <t>AMER SOC MICROBIOLOGY</t>
  </si>
  <si>
    <t>1752 N ST NW, WASHINGTON, DC 20036-2904 USA</t>
  </si>
  <si>
    <t>0099-2240</t>
  </si>
  <si>
    <t>1098-5336</t>
  </si>
  <si>
    <t>APPL ENVIRON MICROB</t>
  </si>
  <si>
    <t>Appl. Environ. Microbiol.</t>
  </si>
  <si>
    <t>10.1128/AEM.69.9.5157-5169.2003</t>
  </si>
  <si>
    <t>Biotechnology &amp; Applied Microbiology; Microbiology</t>
  </si>
  <si>
    <t>723MW</t>
  </si>
  <si>
    <t>Green Accepted, Green Published</t>
  </si>
  <si>
    <t>WOS:000185437000014</t>
  </si>
  <si>
    <t>Ellery, A; Wynn-Williams, D</t>
  </si>
  <si>
    <t>Why Raman Spectroscopy on mars? A case of the right tool for the right job</t>
  </si>
  <si>
    <t>ASTROBIOLOGY</t>
  </si>
  <si>
    <t>Mars exploration; Raman spectroscopy; astrobiology; robotic exploration</t>
  </si>
  <si>
    <t>IN-SITU; LIFE; EVOLUTION; SEARCH; MODEL; HALOBACTERIA; ORIGIN; WATER; EARTH; BIOMOLECULES</t>
  </si>
  <si>
    <t>We provide a scientific rationale for the astrobiological investigation of Mars. We suggest that, given practical constraints, the most promising locations for the search for former life on Mars are palaeolake craters and the evaporite deposits that may reside within them. We suggest that Raman spectroscopy offers a promising tool for the detection of evidence of former mer (or extant) biota on Mars. In particular, we highlight the detection of hopanoids as long-lived bacterial cell wall products and photosynthetic pigments as the most promising targets. We further suggest that Raman spectroscopy as a fibre optic-based instrument lends itself to flexible planetary deployment.</t>
  </si>
  <si>
    <t>Kingston Univ, Sch Engn, London SW15 2YB, England; British Antarctic Survey, Cambridge CB3 0ET, England</t>
  </si>
  <si>
    <t>Kingston University; UK Research &amp; Innovation (UKRI); Natural Environment Research Council (NERC); NERC British Antarctic Survey</t>
  </si>
  <si>
    <t>Kingston Univ, Sch Engn, Friars Ave,Roehampton Vale, London SW15 2YB, England.</t>
  </si>
  <si>
    <t>a.ellery@kingston.ac.uk</t>
  </si>
  <si>
    <t>MARY ANN LIEBERT, INC</t>
  </si>
  <si>
    <t>NEW ROCHELLE</t>
  </si>
  <si>
    <t>140 HUGUENOT STREET, 3RD FL, NEW ROCHELLE, NY 10801 USA</t>
  </si>
  <si>
    <t>1531-1074</t>
  </si>
  <si>
    <t>1557-8070</t>
  </si>
  <si>
    <t>Astrobiology</t>
  </si>
  <si>
    <t>FAL</t>
  </si>
  <si>
    <t>10.1089/153110703322610654</t>
  </si>
  <si>
    <t>Astronomy &amp; Astrophysics; Biology; Geosciences, Multidisciplinary</t>
  </si>
  <si>
    <t>Astronomy &amp; Astrophysics; Life Sciences &amp; Biomedicine - Other Topics; Geology</t>
  </si>
  <si>
    <t>752HT</t>
  </si>
  <si>
    <t>WOS:000187155600009</t>
  </si>
  <si>
    <t>Grasby, SE; Allen, CC; Longazo, TG; Lisle, JT; Griffin, DW; Beauchamp, B</t>
  </si>
  <si>
    <t>Supraglacial sulfur springs and associated biological activity in the Canadian high arctic - Signs of life beneath the ice</t>
  </si>
  <si>
    <t>Annual Meeting of the Geological-Society-of-America</t>
  </si>
  <si>
    <t>NOV 01-10, 2001</t>
  </si>
  <si>
    <t>BOSTON, MASSACHUSETTS</t>
  </si>
  <si>
    <t>sulfur springs; subglacial; bacteria; arctic</t>
  </si>
  <si>
    <t>BACTERIUM DESULFOVIBRIO-OXYCLINAE; ANTARCTIC SEA-ICE; SP STRAIN MB; SULFATE REDUCTION; WATER; METABOLISM; GLACIER; ISOTOPE; BIODEGRADATION; IDENTIFICATION</t>
  </si>
  <si>
    <t>Unique springs, discharging from the surface of an arctic glacier, release H2S and deposit native sulfur, gypsum, and calcite. The presence of sulfur in three oxidation states indicates a complex series of redox reactions. Physical and chemical conditions of the spring water and surrounding environment, as well as mineralogical and isotopic signatures, suggest biologically mediated reactions. Cell counts and DNA analyses confirm bacteria are present in the spring system, and a limited number of sequenced isolates suggests that complex communities of bacteria live within the glacial system.</t>
  </si>
  <si>
    <t>Geol Survey Canada, Nat Resources Canada, Calgary, AB T2L 2A7, Canada; NASA, Lyndon B Johnson Space Ctr, Houston, TX 77058 USA; Hernandez Engn, Houston, TX USA; US Geol Survey, Ctr Coastal &amp; Watershed Res, St Petersburg, FL USA</t>
  </si>
  <si>
    <t>Natural Resources Canada; Lands &amp; Minerals Sector - Natural Resources Canada; Geological Survey of Canada; National Aeronautics &amp; Space Administration (NASA); NASA Johnson Space Center; United States Department of the Interior; United States Geological Survey</t>
  </si>
  <si>
    <t>Grasby, SE (corresponding author), Geol Survey Canada, Nat Resources Canada, 3303 33Rd St Nw, Calgary, AB T2L 2A7, Canada.</t>
  </si>
  <si>
    <t>Grasby, Stephen E./0000-0002-3910-4443</t>
  </si>
  <si>
    <t>MARY ANN LIEBERT INC PUBL</t>
  </si>
  <si>
    <t>LARCHMONT</t>
  </si>
  <si>
    <t>2 MADISON AVENUE, LARCHMONT, NY 10538 USA</t>
  </si>
  <si>
    <t>10.1089/153110703322610672</t>
  </si>
  <si>
    <t>WOS:000187155600011</t>
  </si>
  <si>
    <t>Martin, CL; Walsh, WM; Xiao, KC; Lane, AP; Walker, CK; Stark, AA</t>
  </si>
  <si>
    <t>Martin, Christopher L.; Walsh, Wilfred M.; Xiao, Kecheng; Lane, Adair P.; Walker, Christopher K.; Stark, Antony A.</t>
  </si>
  <si>
    <t>The Inner 200pc: Hot Dense Gas</t>
  </si>
  <si>
    <t>ASTRONOMISCHE NACHRICHTEN</t>
  </si>
  <si>
    <t>Galaxy:center; Galaxy:kinematics and dynamics; ISM:atoms; ISM:general; ISM:molecules</t>
  </si>
  <si>
    <t>ANTARCTIC-SUBMILLIMETER-TELESCOPE; C-12/C-13 ISOTOPE RATIO; CENTER MOLECULAR CLOUDS; SCALE CO SURVEY; GALACTIC-CENTER; OH ABSORPTION; ABUNDANCES; EMISSION; REGION; GALAXY</t>
  </si>
  <si>
    <t>We present fully-sampled maps of 461 GHz CO J - 4 -&gt; 3, 807 GHz CO J - 7 -&gt; 6, and 492 GHz [CI] P-3(1) -&gt; P-3(0) emission from the inner 3 degrees of the Galactic Center region taken with the Antarctic Submillimeter Telescope and Remote Observatory (AST/RO) in 2001-2002. The data cover -1 degrees.3 &lt; l &lt; 2 degrees, -0 degrees.3 &lt; b &lt; 0 degrees.2 with 0.5' spacing, resulting in spectra in 3 transitions at over 24,000 positions on the sky. The CO J = 4 -&gt; 3 emission is found to be essentially coextensive with lower-J transitions of CO. The CO J = 7 -&gt; 6 emission is spatially confined to a far smaller region than the lower-J CO lines. The [C I] P-3(1) -&gt; P-3(0) emission has a spatial extent similar to the low-J CO emission, but is more diffuse. Bright CO J = 7 -&gt; 6 emission is detected in the well-known Galactic Center clouds Sgr A and Sgr B. Analyzing our CO J = 7 -&gt; 6 and CO J = 4 -&gt; 3 data in conjunction with J = 1 -&gt; 0 (CO)-C-12 and (CO)-C-13 data previously observed with the Bell Laboratories 7-m antenna, we apply a Large Velocity Gradient (LVG) model to estimate the kinetic temperature and density of molecular gas in the inner 200 pc of the Galactic Center region. Typical pressures in the Galactic Center gas are n(H-2) center dot T-kin similar to 10(5.2) K cm(-3). We present an (l, b) map of molecular hydrogen column density derived from our LVG results.</t>
  </si>
  <si>
    <t>[Martin, Christopher L.; Walsh, Wilfred M.; Xiao, Kecheng; Lane, Adair P.; Stark, Antony A.] Harvard Smithsonian Ctr Astrophys, Cambridge, MA 02138 USA; [Walker, Christopher K.] Univ Arizona, Steward Observ, Tucson, AZ 85721 USA</t>
  </si>
  <si>
    <t>Smithsonian Institution; Harvard University; Smithsonian Astrophysical Observatory; University of Arizona</t>
  </si>
  <si>
    <t>Martin, CL (corresponding author), Harvard Smithsonian Ctr Astrophys, 60 Garden St,MS-12, Cambridge, MA 02138 USA.</t>
  </si>
  <si>
    <t>cmartin@cfa.harvard.edu</t>
  </si>
  <si>
    <t>Martin, Christopher/0000-0002-8078-8859</t>
  </si>
  <si>
    <t>WILEY-V C H VERLAG GMBH</t>
  </si>
  <si>
    <t>WEINHEIM</t>
  </si>
  <si>
    <t>POSTFACH 101161, 69451 WEINHEIM, GERMANY</t>
  </si>
  <si>
    <t>0004-6337</t>
  </si>
  <si>
    <t>1521-3994</t>
  </si>
  <si>
    <t>ASTRON NACHR</t>
  </si>
  <si>
    <t>Astro. Nachr.</t>
  </si>
  <si>
    <t>10.1002/asna.200385109</t>
  </si>
  <si>
    <t>Astronomy &amp; Astrophysics</t>
  </si>
  <si>
    <t>V23UK</t>
  </si>
  <si>
    <t>WOS:000208367500014</t>
  </si>
  <si>
    <t>Jones, MC</t>
  </si>
  <si>
    <t>Climatology of cold outbreaks with snow over Tasmania</t>
  </si>
  <si>
    <t>AUSTRALIAN METEOROLOGICAL MAGAZINE</t>
  </si>
  <si>
    <t>TEMPERATURE VARIABILITY; AUSTRALIA; SURFACE; TRENDS</t>
  </si>
  <si>
    <t>Selected Hobart upper-air data, surface observations from several sites in Tasmania and reports of cold outbreaks in Bureau of Meteorology publications are studied to produce a climatology of cold outbreaks with snow over Tasmania. This climatology is used to develop an objective definition of a cold outbreak that can be applied to Tasmanian weather conditions for the purposes of climatology, forecasting and classification of extreme weather. The parameters 1000-500 hPa thickness, 500 hPa temperature, freezing level and 850 hPa temperature, which are readily measured and are available from numerical model output, can be used to differentiate between air masses associated with cold outbreaks producing snow and those relating to less extreme weather. It is found that over the thirty years from 1962 to 1991 the frequency of cold outbreaks with snow over Tasmania declined by more than 60 per cent. There may be a link between this decline and climatic change in the region as revealed by studies of ocean temperatures, air temperatures and long-term variability of Tasmanian rainfall.</t>
  </si>
  <si>
    <t>Bur Meteorol, Tasmania &amp; Antarctica Reg Off, Hobart, Tas 7001, Australia; Univ Tasmania, Antarctic Cooperat Res Ctr, Hobart, Tas 7001, Australia</t>
  </si>
  <si>
    <t>Bureau of Meteorology - Australia; University of Tasmania</t>
  </si>
  <si>
    <t>Jones, MC (corresponding author), Bur Meteorol, Tasmania &amp; Antarctica Reg Off, GPO Box 727, Hobart, Tas 7001, Australia.</t>
  </si>
  <si>
    <t>AUSTRALIAN GOVT PUBL SERV</t>
  </si>
  <si>
    <t>CANBERRA</t>
  </si>
  <si>
    <t>PO BOX 84, CANBERRA, 2601, AUSTRALIA</t>
  </si>
  <si>
    <t>0004-9743</t>
  </si>
  <si>
    <t>AUST METEOROL MAG</t>
  </si>
  <si>
    <t>Aust. Meteorol. Mag.</t>
  </si>
  <si>
    <t>748VQ</t>
  </si>
  <si>
    <t>WOS:000186882100002</t>
  </si>
  <si>
    <t>Watkins, AB</t>
  </si>
  <si>
    <t>Seasonal climate summary southern hemisphere (spring 2002): the El Nino reaches maturity and dry conditions dominate Australia</t>
  </si>
  <si>
    <t>LA-NINA; OSCILLATION; CIRCULATION; TELECONNECTIONS; SENSITIVITY; FREQUENCY; BLOCKING; PATTERNS; WIND; WARM</t>
  </si>
  <si>
    <t>Atmospheric and oceanic conditions in the southern hemisphere are reviewed for the 2002 austral spring season. Particular emphasis is given to the Australian and Pacific regions. The El Nino event that emerged in the equatorial Pacific Ocean during autumn and winter reached its peak late in the spring of 2002. Ocean surface and sub surface temperatures in the tropical Pacific remained well above normal throughout the period, driving changes in the overlying Walker circulation and hence modifying many atmospheric parameters, including cloudiness, winds and surface pressures. Teleconnections ensured that such changes induced remote impacts throughout the southern hemisphere. The El Nino event, its growth earlier in the year, the start of its decay late in spring as well as its broadscale modification of the southern hemisphere atmosphere, was highly consistent with theoretically expected behaviour. For Australia, widespread dry conditions dominated the country, with low cloud amounts and a southwards shift in the westerlies; both consistent with the impacts of an El Nino in the Pacific. The generally low rainfall during spring was further exacerbated by very high maximum temperatures and hence greatly increased evaporation, consolidating the event as one of the worst Australian droughts in recorded history. Over the Antarctic, the springtime ozone hole expanded to its smallest size since 1988, reaching only 19 million square kilometres before splitting into two regions.</t>
  </si>
  <si>
    <t>Bur Meteorol, Natl Climate Ctr, Melbourne, Vic 3001, Australia</t>
  </si>
  <si>
    <t>Bureau of Meteorology - Australia</t>
  </si>
  <si>
    <t>Watkins, AB (corresponding author), Bur Meteorol, Natl Climate Ctr, GPO Box 1289K, Melbourne, Vic 3001, Australia.</t>
  </si>
  <si>
    <t>A.Watkins@BoM.GOV.AU</t>
  </si>
  <si>
    <t>AUSTRALIAN BUREAU METEOROLOGY</t>
  </si>
  <si>
    <t>MELBOURNE</t>
  </si>
  <si>
    <t>GPO BOX 1289, MELBOURNE, VIC 3001, AUSTRALIA</t>
  </si>
  <si>
    <t>WOS:000186882100006</t>
  </si>
  <si>
    <t>Volpi, V; Camerlenghi, A; Hillenbrand, CD; Rebesco, M; Ivaldi, R</t>
  </si>
  <si>
    <t>Effects of biogenic silica on sediment compaction and slope stability on the Pacific margin of the Antarctic Peninsula</t>
  </si>
  <si>
    <t>BASIN RESEARCH</t>
  </si>
  <si>
    <t>CONTINENTAL RISE WEST; PHYSICAL-PROPERTIES; ELASTIC PROPERTIES; SEA; DIAGENESIS; POROSITY; CLAY; CALIBRATION; GENERATION; REFLECTOR</t>
  </si>
  <si>
    <t>Analysis of physical properties measured on cores and on discrete samples collected by the Ocean Drilling Programme (ODP) Leg 178 on the Pacific margin of the Antarctic Peninsula reveals anomalous down-hole curves of porosity, density, water content, and P-wave velocity. These indicate an overall trend of increasing porosity with depth and suggest that the drifts are mostly undercompacted. In one of the two boreholes analysed, a sharp decrease in porosity, matching increasing bulk sediment density and increasing compressional velocity occurs towards the base of the hole, which corresponds to a bottom-simulating reflector in the seismic section. Analysis of seismic reflection, down-hole logging, geotechnical and mineralogical data from two drilling sites indicates that the observed anomalous consolidation trends are a consequence of the presence of biogenic silica (diatom and radiolarian skeletons) even with a small to moderate amount. Above the bottom-simulating reflector, intergranular contacts among whole or broken siliceous microfossils prevent normal sediment consolidation. Diagenetic alteration of biogenic opal-A to opal-CT causes a dramatic reduction of intra- and interskeletal porosity allowing sediments to consolidate at depth. This results in overpressuring and a decrease in the effective stress. Excess fluids are expelled towards the sediment surface through near vertical, small throw normal faults extending from the diagenetic front to the seafloor and affecting the stability of the submarine slope in the form of gravitational creep along a weakened surface. This work shows how physical properties of shallow fine-grained marine sediments can be analysed as basin-wide indicators of biogenic silica abundance. The diagenetic alteration of siliceous microfossils is a possible cause of slope instability along world continental margins where bottom-simulating reflectors related to silica diagenesis are present at a regional scale.</t>
  </si>
  <si>
    <t>Ist Nazl Oceanog &amp; Geofis Sperimentale, I-34010 Trieste, Italy; Alfred Wegener Inst Polar &amp; Marine Res, Bremerhaven, Germany; Univ Genoa, Dipartimento Studio Terr &amp; Risorse, Genoa, Italy</t>
  </si>
  <si>
    <t>Istituto Nazionale di Oceanografia e di Geofisica Sperimentale; Helmholtz Association; Alfred Wegener Institute, Helmholtz Centre for Polar &amp; Marine Research; University of Genoa</t>
  </si>
  <si>
    <t>Ist Nazl Oceanog &amp; Geofis Sperimentale, Borgo Grotta Gigante 42-C, I-34010 Trieste, Italy.</t>
  </si>
  <si>
    <t>vvolpi@ogs.trieste.it</t>
  </si>
  <si>
    <t>Camerlenghi, Angelo/C-8816-2011; Camerlenghi, Angelo/O-1593-2013; Rebesco, Michele/B-7462-2014; Camerlenghi, Angelo/AAG-3852-2019</t>
  </si>
  <si>
    <t>Camerlenghi, Angelo/0000-0002-8128-9533; Rebesco, Michele/0000-0002-9492-4081; Camerlenghi, Angelo/0000-0002-8128-9533; Volpi, Valentina/0000-0002-4407-615X</t>
  </si>
  <si>
    <t>0950-091X</t>
  </si>
  <si>
    <t>1365-2117</t>
  </si>
  <si>
    <t>BASIN RES</t>
  </si>
  <si>
    <t>Basin Res.</t>
  </si>
  <si>
    <t>10.1046/j.1365-2117.2003.00210.x</t>
  </si>
  <si>
    <t>717UH</t>
  </si>
  <si>
    <t>WOS:000185108800004</t>
  </si>
  <si>
    <t>Jones, AG; Chown, SL; Ryan, PG; Gremmen, NJM; Gaston, KJ</t>
  </si>
  <si>
    <t>A review of conservation threats on Gough Island: a case study for terrestrial conservation in the Southern Oceans</t>
  </si>
  <si>
    <t>BIOLOGICAL CONSERVATION</t>
  </si>
  <si>
    <t>introductions; climate change; longline fishing; management priorities; Gough Island</t>
  </si>
  <si>
    <t>SUB-ANTARCTIC MARION; TRISTAN-DA-CUNHA; PRINCE-EDWARD-ISLANDS; FERAL HOUSE MICE; ALBATROSS DIOMEDEA-EXULANS; GLOBAL PATTERNS; CLIMATE-CHANGE; WEEVILS COLEOPTERA; POPULATION STATUS; BREEDING BIOLOGY</t>
  </si>
  <si>
    <t>Gough Island is a remote Southern Ocean Island that, despite having no permanent human population, is under substantial conservation threat as a result of human activity. A considerable proportion of the flora and fauna has been accidentally introduced, and new data are presented showing that ca. 70% of the free-living pterygote insect species are introductions. We describe how endangered seabirds that breed on the island may suffer from human fisheries activities and present new evidence showing that local temperatures have risen significantly since 1963, threatening to alter the architecture and composition of species communities. These observations are an indication that the terrestrial ecosystems of other remote islands in the Southern Oceans may be under greater conservation threat than previously thought. In light of the threats described, we discuss conservation management priorities for Gough Island. To facilitate conservation of the indigenous biota, and that of similar islands elsewhere, we suggest that a combination of proactive measures designed to maintain the integrity of island communities, and monitoring programs designed rapidly to identify new conservation threats, should be implemented conscientiously. (C) 2003 Elsevier Science Ltd. All rights reserved.</t>
  </si>
  <si>
    <t>Univ Sheffield, Dept Anim &amp; Plant Sci, Biodivers &amp; Macroecol Grp, Sheffield S10 2TN, S Yorkshire, England; Univ Stellenbosch, Dept Zool, ZA-7602 Matieland, South Africa; Univ Cape Town, Percy FitzPatrick Inst, ZA-7701 Rondebosch, South Africa; Data Anal Ecol, NL-7981 CD Diever, Netherlands</t>
  </si>
  <si>
    <t>University of Sheffield; Stellenbosch University; University of Cape Town</t>
  </si>
  <si>
    <t>Univ Sheffield, Dept Anim &amp; Plant Sci, Biodivers &amp; Macroecol Grp, Sheffield S10 2TN, S Yorkshire, England.</t>
  </si>
  <si>
    <t>k.j.gaston@sheffield.ac.uk</t>
  </si>
  <si>
    <t>Chown, Steven L/H-3347-2011; Chown, Steven/ABD-7646-2021</t>
  </si>
  <si>
    <t>Ryan, Peter/0000-0002-3356-2056</t>
  </si>
  <si>
    <t>0006-3207</t>
  </si>
  <si>
    <t>1873-2917</t>
  </si>
  <si>
    <t>BIOL CONSERV</t>
  </si>
  <si>
    <t>Biol. Conserv.</t>
  </si>
  <si>
    <t>10.1016/S0006-3207(02)00351-8</t>
  </si>
  <si>
    <t>Biodiversity Conservation; Ecology; Environmental Sciences</t>
  </si>
  <si>
    <t>691EC</t>
  </si>
  <si>
    <t>WOS:000183591000008</t>
  </si>
  <si>
    <t>Okamura, H; Kitakado, T; Hiramatsu, K; Mori, M</t>
  </si>
  <si>
    <t>Abundance estimation of diving animals by the double-platform line transect method</t>
  </si>
  <si>
    <t>BIOMETRICS</t>
  </si>
  <si>
    <t>abundance estimation of diving animals; hazard probability model; incompletely independent observer; line transect survey</t>
  </si>
  <si>
    <t>OBSERVERS; MODELS</t>
  </si>
  <si>
    <t>In conventional line transect theory, it is assumed that all animals on the line are detected. This article introduces an extended and generalized hazard probability model without the need for such an assumption. The proposed method needs a survey design with independent observers having the same visual region and assumes an explicit distinction of simultaneous and delayed duplicates. It can take account of random heterogeneity caused by surfacing behavior as well as systematic heterogeneity by covariate effects. Furthermore, it can be easily extended to cases in which data from incompletely independent observers are available. The abundance estimate is based on the Horvitz-Thompson estimator in unequal delectability sampling scheme. Simulation studies suggest that the proposed method has good performance. The method is applied to a real data set on Antarctic minke whales in the illustration.</t>
  </si>
  <si>
    <t>Natl Res Inst Far Seas Fisheries, Shizuoka 4248633, Japan; Tokyo Univ Fisheries, Dept Fisheries Resource Management, Minato Ku, Tokyo 1088477, Japan; Univ Tokyo, Ocean Res Inst, Dept Living Marine Resources, Nakano Ku, Tokyo 1648639, Japan</t>
  </si>
  <si>
    <t>Japan Fisheries Research &amp; Education Agency (FRA); Tokyo University of Marine Science &amp; Technology; University of Tokyo</t>
  </si>
  <si>
    <t>Okamura, H (corresponding author), Natl Res Inst Far Seas Fisheries, 5-7-1 Orido, Shizuoka 4248633, Japan.</t>
  </si>
  <si>
    <t>Kitakado, Toshihide/O-1944-2014; Okamura, Hiroshi/AAV-4162-2021</t>
  </si>
  <si>
    <t>Miyagawa, Mitsuyo/0000-0002-3715-1342</t>
  </si>
  <si>
    <t>0006-341X</t>
  </si>
  <si>
    <t>Biometrics</t>
  </si>
  <si>
    <t>10.1111/1541-0420.00061</t>
  </si>
  <si>
    <t>Biology; Mathematical &amp; Computational Biology; Statistics &amp; Probability</t>
  </si>
  <si>
    <t>Life Sciences &amp; Biomedicine - Other Topics; Mathematical &amp; Computational Biology; Mathematics</t>
  </si>
  <si>
    <t>719TE</t>
  </si>
  <si>
    <t>WOS:000185220100006</t>
  </si>
  <si>
    <t>Raunholm, S; Sejrup, HP; Larsen, E</t>
  </si>
  <si>
    <t>Lateglacial landform associations at Jæren (SW Norway) and their glaci-dynamic implications</t>
  </si>
  <si>
    <t>BOREAS</t>
  </si>
  <si>
    <t>ANTARCTIC ICE STREAMS; NORTH-SEA FAN; SOUTHWESTERN NORWAY; RIBBED MORAINE; ROGEN MORAINE; DEBRIS FLOWS; SEDIMENTS; HISTORY; JAEREN; CONFIGURATION</t>
  </si>
  <si>
    <t>The Jaeren lowland is located on the southwestern coast of Norway between a mountainous region in the east and the offshore Norwegian Channel in the west. During the Last Glacial Maximum, Jaeren was in an intermediate position between an ice stream following the Norwegian Channel northwards, and westward flowing inland ice. The dynamic behaviour of the inland ice and the interaction with the ice stream are examined by means of geomorphological analysis of digital terrain models and sedimentological investigations. SW-trending drumlins were formed at Jaeren below tributary ice from the inland, feeding into the Norwegian Channel Ice Stream. The presence of Rogen moraine in the central part of Jaeren indicates a frozen substratum prior to their formation, and this suggests a transition to cold-based ice between the tributaries. The deglaciation of the Norwegian Channel at about 15 ka BP resulted in an unstable ice front for the inland ice sheet. The formation of Rogen moraine may be explained by a dynamic advance resulting in extensional flow and fracturing of the frozen substratum between the tributaries. The dynamic advance was followed by an early deglaciation of the coastal areas as evidenced by shallow marine sediments. Deformation of the shallow marine sand indicates a glacial readvance through the valleys formerly acting as tributaries to the ice stream.</t>
  </si>
  <si>
    <t>Univ Bergen, Dept Earth Sci, NO-5007 Bergen, Norway; Geol Survey Norway, NO-7491 Trondheim, Norway</t>
  </si>
  <si>
    <t>University of Bergen; Geological Survey of Norway</t>
  </si>
  <si>
    <t>Univ Bergen, Dept Earth Sci, Allegt 41, NO-5007 Bergen, Norway.</t>
  </si>
  <si>
    <t>Staale.Raunholm@geo.uib.no; Sejrup@geo.uib.no; Eiliv.Larsen@ngu.no</t>
  </si>
  <si>
    <t>0300-9483</t>
  </si>
  <si>
    <t>1502-3885</t>
  </si>
  <si>
    <t>Boreas</t>
  </si>
  <si>
    <t>10.1080/03009480310003360</t>
  </si>
  <si>
    <t>Geography, Physical; Geosciences, Multidisciplinary</t>
  </si>
  <si>
    <t>Physical Geography; Geology</t>
  </si>
  <si>
    <t>706LX</t>
  </si>
  <si>
    <t>WOS:000184456100002</t>
  </si>
  <si>
    <t>Turetsky, MR</t>
  </si>
  <si>
    <t>The role of bryophytes in carbon and nitrogen cycling</t>
  </si>
  <si>
    <t>BRYOLOGIST</t>
  </si>
  <si>
    <t>DISSOLVED ORGANIC-CARBON; SIMULATED ENVIRONMENTAL-CHANGE; NITRATE REDUCTASE-ACTIVITY; SUB-ANTARCTIC ISLAND; MONTANE RAIN-FOREST; FRENCH WEST-INDIES; SPHAGNUM-FUSCUM; INORGANIC CARBON; BOREAL FOREST; FEATHER-MOSS</t>
  </si>
  <si>
    <t>Canadian Forest Serv, No Forestry Ctr, Edmonton, AB T6H 3S5, Canada</t>
  </si>
  <si>
    <t>Natural Resources Canada; Canadian Forest Service</t>
  </si>
  <si>
    <t>Turetsky, MR (corresponding author), US Geol Survey, 345 Middlefield Rd,MS 962, Menlo Pk, CA 94025 USA.</t>
  </si>
  <si>
    <t>Turetsky, Merritt R./B-1255-2013</t>
  </si>
  <si>
    <t>AMER BRYOLOGICAL LICHENOLOGICAL SOCIETY INC</t>
  </si>
  <si>
    <t>FAIRFAX</t>
  </si>
  <si>
    <t>C/O JAMES D LAWREY, GEORGE MASON UNIV, DEPT BIOLOGY MSN 3E1, FAIRFAX, VA 22030 USA</t>
  </si>
  <si>
    <t>0007-2745</t>
  </si>
  <si>
    <t>Bryologist</t>
  </si>
  <si>
    <t>10.1639/05</t>
  </si>
  <si>
    <t>719FF</t>
  </si>
  <si>
    <t>WOS:000185192400005</t>
  </si>
  <si>
    <t>Sovik, G; Leinaas, HP</t>
  </si>
  <si>
    <t>Adult survival and reproduction in an arctic mite, Ameronothrus lineatus (Acari, Oribatida):: effects of temperature and winter cold</t>
  </si>
  <si>
    <t>CANADIAN JOURNAL OF ZOOLOGY</t>
  </si>
  <si>
    <t>ANTARCTIC MITE; ALASKOZETES-ANTARCTICUS; LIFE-HISTORY; HYPOGASTRURA-TULLBERGI; THERMAL ENVIRONMENTS; COLLEMBOLA; BIOLOGY; GROWTH; POPULATION; SVALBARD</t>
  </si>
  <si>
    <t>Survival and reproduction of an arctic population of Ameronothrus lineatus were studied at four constant temperatures (5, 10, 15, and 21 degreesC). By simulating winters in the laboratory, an adult population was followed through 3 years. Increasing temperatures reduced adult longevity. Females survived longer than males. A temperature of 15 degreesC was the most favourable for reproduction, with highest larviposition rate and reproductive output. Lifetime reproductive output was also high at 10 degreesC, while lower numbers of larvae at 21 degreesC indicated the beginning of heat stress. Comparison with field data showed that the reproductive performance at 15 degreesC corresponded to reproduction in a natural population experiencing a mean temperature of 8-9 degreesC, suggesting a positive effect of daily temperature fluctuations. A simulated winter with freezing temperatures increased male survival and positively affected all aspects of reproduction the following laboratory summer.</t>
  </si>
  <si>
    <t>Univ Oslo, Dept Biol, Div Zool, N-0316 Oslo, Norway</t>
  </si>
  <si>
    <t>University of Oslo</t>
  </si>
  <si>
    <t>Univ Oslo, Dept Biol, Div Zool, POB 1050, N-0316 Oslo, Norway.</t>
  </si>
  <si>
    <t>gullars@bergen.online.no</t>
  </si>
  <si>
    <t>CANADIAN SCIENCE PUBLISHING, NRC RESEARCH PRESS</t>
  </si>
  <si>
    <t>OTTAWA</t>
  </si>
  <si>
    <t>65 AURIGA DR, SUITE 203, OTTAWA, ON K2E 7W6, CANADA</t>
  </si>
  <si>
    <t>0008-4301</t>
  </si>
  <si>
    <t>1480-3283</t>
  </si>
  <si>
    <t>CAN J ZOOL</t>
  </si>
  <si>
    <t>Can. J. Zool.</t>
  </si>
  <si>
    <t>10.1139/Z03-113</t>
  </si>
  <si>
    <t>739CT</t>
  </si>
  <si>
    <t>WOS:000186325200011</t>
  </si>
  <si>
    <t>Genthon, C; Krinner, G; Sacchettini, M</t>
  </si>
  <si>
    <t>Interannual Antarctic tropospheric circulation and precipitation variability</t>
  </si>
  <si>
    <t>CLIMATE DYNAMICS</t>
  </si>
  <si>
    <t>NCEP-NCAR REANALYSIS; SURFACE TEMPERATURES; SOUTHERN-OCEAN; CLIMATE; TRENDS; SIGNAL; MODES</t>
  </si>
  <si>
    <t>Main modes of variability of the Antarctic tropospheric circulation (500 hPa geopotential height) and precipitation are identified through their empirical orthogonal functions (EOF). This is done by combining various sources of information, including meteorological analyses and forecasts (NCEP and ECMWF), atmospheric general circulation model (LMDZ) simulations, and satellite data (GPCP). Unlike previous similar work on circulation variability, the mode analyses are restricted to the Antarctic region. The main modes that relate the Antarctic region to the mid and tropical latitudes, e.g. in association with ENSO, are nonetheless clearly identified and thus robust. The contribution of the sea-surface or of the circumpolar Antarctic atmospheric dynamics to the occurrence and to the chronology of these modes is evaluated through various atmospheric model simulations. EOF analyses results are somewhat less stable, across the various datasets, and more noisy for precipitation than for circulation. Yet, through moisture advection considerations, the two most significant precipitation modes can be well related to the three main modes of circulation variability. The signatures of both the Southern Oscillation Index (SOI) and the Antarctic Oscillation Index (AOI) are found in one same precipitation mode, suggesting that they have a substantially common spatial structure. In addition, the relative strength of the signature of the AOI and SOI appears to change in time. In particular, the signature of the SOI was weak in the 1980s precipitations, but turned very strong in the 1990s. Common spatial patterns and variable strength in time may explain why hints of an ENSO signature in Antarctic precipitation have been reported but not unequivocally demonstrated so far.</t>
  </si>
  <si>
    <t>Lab Glaciol &amp; Geophys Environm, CNRS, OSUG, F-38402 St Martin Dheres, France</t>
  </si>
  <si>
    <t>Centre National de la Recherche Scientifique (CNRS)</t>
  </si>
  <si>
    <t>Lab Glaciol &amp; Geophys Environm, CNRS, OSUG, 54 Rue Moliere,BP 96, F-38402 St Martin Dheres, France.</t>
  </si>
  <si>
    <t>genthon@lgge.obs.ujf-grenoble.fr</t>
  </si>
  <si>
    <t>Krinner, Gerhard/A-6450-2011; Krinner, Gerhard/AAB-8837-2022</t>
  </si>
  <si>
    <t>Krinner, Gerhard/0000-0002-2959-5920</t>
  </si>
  <si>
    <t>0930-7575</t>
  </si>
  <si>
    <t>1432-0894</t>
  </si>
  <si>
    <t>CLIM DYNAM</t>
  </si>
  <si>
    <t>Clim. Dyn.</t>
  </si>
  <si>
    <t>10.1007/s00382-003-0329-1</t>
  </si>
  <si>
    <t>719WU</t>
  </si>
  <si>
    <t>WOS:000185228700006</t>
  </si>
  <si>
    <t>Borresen, M; Breedveld, GD; Rike, AG</t>
  </si>
  <si>
    <t>Assessment of the biodegradation potential of hydrocarbons in contaminated soil from a permafrost site</t>
  </si>
  <si>
    <t>COLD REGIONS SCIENCE AND TECHNOLOGY</t>
  </si>
  <si>
    <t>3rd International Conference on Contaminants in Freezing Ground</t>
  </si>
  <si>
    <t>APR 14-18, 2002</t>
  </si>
  <si>
    <t>HOBART, AUSTRALIA</t>
  </si>
  <si>
    <t>biodegradation; hydrocarbons; C-14 hexadecane; permafrost; low temperature; Arctic</t>
  </si>
  <si>
    <t>BIOREMEDIATION; OIL; MINERALIZATION; MICROORGANISMS; TEMPERATURE; DEGRADATION</t>
  </si>
  <si>
    <t>Biodegradation of hydrocarbons in the Arctic and Antarctic has shown to be very slow, due to low temperatures combined with low contents of nutrients, organic matter and water. In this study, the degradation potential of diesel and hexadecane by indigenous microorganisms in a contaminated soil from a permafrost site was evaluated. Soil samples were taken from two profiles at a hydrocarbon-contaminated site at Svalbard, at depths of 0.5 m (active layer), 2.0 m (transition zone between active layer and permafrost) and 3.5 m (permafrost). The aerobe biodegradation potential was assessed using two different laboratory approaches: nutrient amended liquid cultures with arctic diesel as the carbon source, and soil microcosms with radiolabelled hexadecane. The experiments were performed at 5degreesC. Biodegradation of hydrocarbons at 5degreesC was obtained with both methods. In the liquid cultures 18-54% of the initial diesel concentration was degraded after 32 days. The total degradation increased with sampling depth such that the greatest degradation was observed in cultures inoculated with soil from the permafrost. In the soil microcosm experiments, 0.9-15.8% of the initial hexadecane concentration mineralised after 128 days, at rates from 0.4 to 6.2 mg hexadecane/kg/day. In the soil microcosms study, greatest total degradation was observed in soil from the transition zone, followed by the samples from active layer and permafrost, respectively. Both liquid cultures and soil microcosms can be used to study the biodegradation potential of contaminated arctic soil at 5degreesC. The methods can be regarded as complementary, with the liquid cultures being qualitative and the soil microcosms quantitative in nature. The liquid cultures provide information regarding the indigenous microorganisms' capability to degrade different compounds under optimised conditions. The soil microcosm experiments result in mineralisation rates in the soil under the prevailing conditions. (C) 2003 Elsevier Science B.V. All rights reserved.</t>
  </si>
  <si>
    <t>Norwegian Geotech Inst, N-0806 Oslo, Norway</t>
  </si>
  <si>
    <t>Norwegian Geotechnical Institute, NGI</t>
  </si>
  <si>
    <t>Norwegian Geotech Inst, POB 3930,Ullevaal Stad, N-0806 Oslo, Norway.</t>
  </si>
  <si>
    <t>marion.borresen@ngi.no; gijsbert.dirk.breedveld@ngi.no; anne.gunn.rike@ngi.no</t>
  </si>
  <si>
    <t>Breedveld, Gijs D./0000-0003-2944-840X</t>
  </si>
  <si>
    <t>0165-232X</t>
  </si>
  <si>
    <t>1872-7441</t>
  </si>
  <si>
    <t>COLD REG SCI TECHNOL</t>
  </si>
  <si>
    <t>Cold Reg. Sci. Tech.</t>
  </si>
  <si>
    <t>10.1016/S0165-232X(02)00092-7</t>
  </si>
  <si>
    <t>Engineering, Environmental; Engineering, Civil; Geosciences, Multidisciplinary</t>
  </si>
  <si>
    <t>Engineering; Geology</t>
  </si>
  <si>
    <t>721EH</t>
  </si>
  <si>
    <t>WOS:000185303700005</t>
  </si>
  <si>
    <t>Woinarski, AZ; Snape, I; Stevens, GW; Stark, SC</t>
  </si>
  <si>
    <t>The effects of cold temperature on copper ion exchange by natural zeolite for use in a permeable reactive barrier in Antarctica</t>
  </si>
  <si>
    <t>permeable reactive barrier; clinoptilolite; copper; ion exchange; Antarctica</t>
  </si>
  <si>
    <t>HEAVY-METALS; WASTE-WATER; CLINOPTILOLITE; REMOVAL; PB2+; THERMODYNAMICS; SEDIMENTARY; DERIVATION; EQUATION; AMMONIUM</t>
  </si>
  <si>
    <t>Permeable reactive barriers (PRBs) are an in-situ passive treatment technology that removes dissolved contaminants from polluted waters through the subsurface emplacement of reactive materials such as natural zeolite. While significant work has been achieved using PRBs in temperate climates, adaptations to existing PRB technology and reactive material characteristics will be necessary for the successful treatment of heavy metal contaminated waters in cold regions. This study investigates the effects of cold temperature on the ion exchange equilibria of copper with clinoptilolite, a common natural zeolite, in natural and pretreated sodium forms. Batch tests were conducted at 22 and 2degreesC in both simple binary systems and more complex multi-component systems. Results show that cold temperatures decrease copper uptake by clinoptilolite and appear to slow reaction kinetics. The ion exchange of copper in slightly saline waters is decreased at both 22 and 2degreesC compared to uptake in simple binary systems. These results will have significant implications on cold region barrier design. (C) 2003 Elsevier Science B.V. All rights reserved.</t>
  </si>
  <si>
    <t>Australian Antarctic Div, Kingston, Tas 7050, Australia; Univ Melbourne, Dept Chem Engn, Melbourne, Vic 3010, Australia</t>
  </si>
  <si>
    <t>Australian Antarctic Division; University of Melbourne; Melbourne Bioinformatics</t>
  </si>
  <si>
    <t>Woinarski, AZ (corresponding author), Australian Antarctic Div, Channel Highway, Kingston, Tas 7050, Australia.</t>
  </si>
  <si>
    <t>Eun, Heesoo/H-5370-2012</t>
  </si>
  <si>
    <t>Stevens, Geoffrey/0000-0002-5788-4682</t>
  </si>
  <si>
    <t>10.1016/S0165-232X(03)00038-7</t>
  </si>
  <si>
    <t>WOS:000185303700007</t>
  </si>
  <si>
    <t>Northcott, KA; Snape, I; Connor, MA; Stevens, GW</t>
  </si>
  <si>
    <t>Water treatment design for site remediation at Casey Station, Antarctica: site characterisation and particle separation</t>
  </si>
  <si>
    <t>water treatment; cold regions; site remediation; heavy metals; contaminants</t>
  </si>
  <si>
    <t>Antarctica is commonly regarded as a pristine environment, but more than a century of human activity has left an extensive legacy of abandoned waste. The Australian Antarctic Division (AAD) has identified the Thala Valley Tip near Casey Station as a high priority site for remediation. However, there are difficulties with regards to contaminant dispersal by melt-water during extraction of wastes and contaminated sediments. Charactetisation of contaminants and other site-specific conditions is crucial when designing appropriate water treatment technologies. Analysis of contaminants in Tip waters has found that heavy metals are predominantly associated with particles, although there are substantial concentrations of dissolved metals as well. The combined chemical and physical analyses indicate that the main heavy metals transport mechanism as adsorption to the surface of particles, which are then carried by surface and sub-surface runoff. To remove heavy metals from contaminated water during the proposed clean-up of Thala Valley a multistage treatment process will be required. The first stage is one of particle removal. A plant has been designed that uses coagulation and flocculation chemicals to produce a fast settling, flocculated suspension. The flocculated particles will settle out in an inclined settler, producing a clarified effluent and a concentrated sludge. The clarified water will then be passed through a 1-mum filter to remove any residual particles prior to dissolved heavy metals removal either by ion exchange or distillation. Future research will focus on optimisation of the water treatment system, especially coagulation and flocculation processes and the impact of pH, turbidity, low temperature and water chemistry on flocculation efficiency. (C) 2003 Elsevier B.V. All rights reserved.</t>
  </si>
  <si>
    <t>Univ Melbourne, Dept Chem Engn, Parkville, Vic 3010, Australia; Australian Antarctic Div, Kingston, Tas 7050, Australia</t>
  </si>
  <si>
    <t>University of Melbourne; Australian Antarctic Division</t>
  </si>
  <si>
    <t>Univ Melbourne, Dept Chem Engn, Parkville, Vic 3010, Australia.</t>
  </si>
  <si>
    <t>k.northcott@pgrad.unimelb.edu.au</t>
  </si>
  <si>
    <t>10.1016/S0165-232X(03)00039-9</t>
  </si>
  <si>
    <t>WOS:000185303700008</t>
  </si>
  <si>
    <t>Pettersson, JK; Nobes, DC</t>
  </si>
  <si>
    <t>Environmental geophysics at Scott Base: ground penetrating radar and electromagnetic induction as tools for mapping contaminated ground at Antarctic research bases</t>
  </si>
  <si>
    <t>hydrocarbon-containinated; permafrost; geophysics; ground penetrating radar; electromagnetic methods; Antarctica</t>
  </si>
  <si>
    <t>DRY VALLEYS; SOILS</t>
  </si>
  <si>
    <t>Mapping the extent of hydrocarbon spills in Antarctica is commonly done by hand sampling of active layer soils and by mechanical coring deeper into the frozen layer. While these methods provide reliable results, the act of obtaining samples can cause almost as Much damage to the site as the contamination. A nondestructive, noninvasive method to map extent of hydrocarbon (JP5, JP8) spills on dry permafrost would provide a more environmentally sound contaminated site management tool. This study provides a base knowledge of how noninvasive nondestructive geophysical surveying can be used to map hydrocarbon spills in an Antarctic permafrost setting, and establishes its suitability as a tool for environmental monitoring at Antarctic bases. Geophysical surveys were undertaken at Scott Base, Antarctica, using ground penetrating radar (GPR) and the EM31(TM) horizontal loop electromagnetic (HLEM) instrument. Surveys were carried out over the same location before and after the summer melt. Areas known to be hydrocarbon-contaminated appeared as resistive anomalies using an EM31. Variations in the geophysical response between surveys were found, with conductivities increasing, on average, by a factor of two for the late summer, but resistive anomalies persisted. GPR was not successful in direct detection of contaminated ground; however, it did provide valuable information on the nature of the subsurface which is useful to predict future movement of contaminants. (C) 2003 Elsevier Science B.V. All rights reserved.</t>
  </si>
  <si>
    <t>Univ Canterbury, Dept Geol Sci, Christchurch, New Zealand; Univ Canterbury, Dept Civil Engn, Christchurch, New Zealand</t>
  </si>
  <si>
    <t>University of Canterbury; University of Canterbury</t>
  </si>
  <si>
    <t>Nobes, DC (corresponding author), Univ Canterbury, Dept Geol Sci, Private Bag 4800, Christchurch, New Zealand.</t>
  </si>
  <si>
    <t>Nobes, David/AAC-6539-2021</t>
  </si>
  <si>
    <t>Nobes, David/0000-0002-0344-7890</t>
  </si>
  <si>
    <t>10.1016/S0165-232X(03)00037-5</t>
  </si>
  <si>
    <t>WOS:000185303700009</t>
  </si>
  <si>
    <t>Ferguson, SH; Franzmann, PD; Revill, AT; Snape, I; Rayner, JL</t>
  </si>
  <si>
    <t>The effects of nitrogen and water on mineralisation of hydrocarbons in diesel-contaminated terrestrial Antarctic</t>
  </si>
  <si>
    <t>Antarctica; bioremediation; cold regions; soil microcosms; nitrogen</t>
  </si>
  <si>
    <t>MICROBIAL-DEGRADATION; ARCTIC SOILS; OIL; BIOREMEDIATION; PETROLEUM; BIODEGRADATION; TEMPERATURE; ENHANCEMENT; INHIBITION; SPILL</t>
  </si>
  <si>
    <t>Bioremediation of petroleum-contaminated soil in the Antarctic will be logistically and technically difficult and will cost more than similar treatment in temperate regions or the Arctic because of the remote location and unfavourable environmental conditions. To optimise nutrient amendments for the remediation of a long-term hydrocarbon-contaminated site at Old Casey Station in Antarctica, we investigated the effects of nitrogen (and phosphorus) amendments on microbial mineralisation using radiometric microcosm experiments and gas chromatography. Hydrocarbon mineralisation at nine different inorganic nitrogen concentrations (ranging from 85 to over 27,000 mg N kg-soil-H2O-1) was monitored over 95-day incubation at 10degreesC. Total C-14-octadecane mineralisation increased with increasing nutrient concentration peaking in the range 1000-1600 mg N kg-soil-H2O-1. The microcosms with the lowest and highest concentrations of N had extended lag phases of over 12.5 days prior to significant mineralisation. Gas chromatographic analysis of the aliphatic components of Special Antarctic Blend (SAB) diesel in the contaminated soil showed good agreement with the C-14-octadecane mineralisation outcomes. Ratios of n-C-17/pristane and n-C-18/phytane indicated that low nutrient concentrations rather than water were the main limiting factor for biodegradation of hydrocarbons in the soil collected from Old Casey Station when incubated at 10degreesC. However, because the soils from this site are characterised by low water holding capacities, it would be difficult to maintain optimal nutrient concentrations during full-scale treatment, and thus the use of a controlled release nutrient is being considered as a nutrient source in the bioremediation of SAB-contaminated Antarctic soils. Crown Copyright (C) 2003 Published by Elsevier B.V. All rights reserved.</t>
  </si>
  <si>
    <t>Australian Antarctic Div, Kingston, Tas 7050, Australia; Univ Tasmania, Hobart, Tas 7001, Australia; CSIRO Land &amp; Water, Floreat, WA 6014, Australia; CSIRO Marine Res, Hobart, Tas 7001, Australia</t>
  </si>
  <si>
    <t>Australian Antarctic Division; University of Tasmania; Commonwealth Scientific &amp; Industrial Research Organisation (CSIRO); Commonwealth Scientific &amp; Industrial Research Organisation (CSIRO)</t>
  </si>
  <si>
    <t>Ferguson, SH (corresponding author), Australian Antarctic Div, Channel Highway, Kingston, Tas 7050, Australia.</t>
  </si>
  <si>
    <t>Rayner, John L/F-7633-2013; Revill, Andrew/B-8733-2011</t>
  </si>
  <si>
    <t>Revill, Andrew/0000-0003-2486-5976</t>
  </si>
  <si>
    <t>10.1016/S0165-232X(03)00041-7</t>
  </si>
  <si>
    <t>WOS:000185303700010</t>
  </si>
  <si>
    <t>Sturla, M; Prato, E; Masini, MA; Uva, BM</t>
  </si>
  <si>
    <t>Ion transport proteins and aquaporin water channels in the kidney of amphibians from different habitats</t>
  </si>
  <si>
    <t>COMPARATIVE BIOCHEMISTRY AND PHYSIOLOGY C-TOXICOLOGY &amp; PHARMACOLOGY</t>
  </si>
  <si>
    <t>amphibia; Speleomantes; Rana; Amphiuma; immunohistochemistry; aquaporins; ion cotransporter proteins; kidney; sodium pump</t>
  </si>
  <si>
    <t>ANTARCTIC TELEOSTS; MOLECULAR-CLONING; URINARY-BLADDER; EXPRESSION; SEQUENCE; SUBUNIT; CELLS; (NA</t>
  </si>
  <si>
    <t>Amphibians are known to spend part of their life on land and return to water to reproduce. However, some urodeles spend their entire life in water, while others succeed in completely avoiding water even during reproduction. Osmoregulatory mechanisms must therefore be different in the diverse environmental conditions of their respective life histories. The architecture of the kidney is similar in all amphibians; as a consequence the ion-water equilibrium must be regulated in the different environmental conditions. We investigated the immunolocalisation of Na+/K+/Cl- cotransport proteins, sodium pump and water-channel proteins (aquaporins) in aquatic Amphiuma means means, Rana dalmatina, a species that returns to water to reproduce, and Speleomantes genei, a completely terrestrial species. The investigation was carried out with immunohistochemical methods using antibodies to Na+/K+/Cl- cotransport protein NKCCl T4, Na+/K(+)ATPase alpha-subunit, water-channel aquaporin 3 and the inner mitochondrial membrane (AMA). Cotransport proteins and sodium pump, involved in ion reabsorption, are widely distributed in A. means and R. dalmatina and confined to the distal segment in S. genei; conversely water channels, involved in water reabsorption, are limited to the collecting duct in A. means and R. dalmatina and distributed in the proximal and collecting ducts in S. genei. (C) 2003 Elsevier Inc. All rights reserved.</t>
  </si>
  <si>
    <t>Univ Genoa, Dipartimento Biol Sperimentale Ambientale &amp; Appl, I-16132 Genoa, Italy</t>
  </si>
  <si>
    <t>University of Genoa</t>
  </si>
  <si>
    <t>Uva, BM (corresponding author), Univ Genoa, Dipartimento Biol Sperimentale Ambientale &amp; Appl, 5 Viale Benedetto XV, I-16132 Genoa, Italy.</t>
  </si>
  <si>
    <t>uvab@unige.it</t>
  </si>
  <si>
    <t>Prato, Ermelinda/AAX-7345-2020</t>
  </si>
  <si>
    <t>Prato, Ermelinda/0000-0002-7917-6361</t>
  </si>
  <si>
    <t>ELSEVIER SCIENCE INC</t>
  </si>
  <si>
    <t>360 PARK AVE SOUTH, NEW YORK, NY 10010-1710 USA</t>
  </si>
  <si>
    <t>1532-0456</t>
  </si>
  <si>
    <t>1878-1659</t>
  </si>
  <si>
    <t>COMP BIOCHEM PHYS C</t>
  </si>
  <si>
    <t>Comp. Biochem. Physiol. C-Toxicol. Pharmacol.</t>
  </si>
  <si>
    <t>10.1016/S1532-0456(03)00141-8</t>
  </si>
  <si>
    <t>Biochemistry &amp; Molecular Biology; Endocrinology &amp; Metabolism; Toxicology; Zoology</t>
  </si>
  <si>
    <t>728BE</t>
  </si>
  <si>
    <t>WOS:000185694700001</t>
  </si>
  <si>
    <t>Zeh, A; Williams, IS; Brätz, H; Millar, IL</t>
  </si>
  <si>
    <t>Different age response of zircon and monazite during the tectono-metamorphic evolution of a high grade paragneiss from the Ruhla Crystalline Complex, central Germany</t>
  </si>
  <si>
    <t>CONTRIBUTIONS TO MINERALOGY AND PETROLOGY</t>
  </si>
  <si>
    <t>U-TH-PB; HYDROTHERMAL ZIRCON; REYNOLDS RANGE; ISOTOPE SYSTEM; RB-SR; CONSTRAINTS; FLUID; RECRYSTALLIZATION; GEOCHRONOLOGY; DIFFUSION</t>
  </si>
  <si>
    <t>Results of TIMS, SIMS and SEM analyses show that zircon and monazite in a high-grade paragneiss of the Ruhla Crystalline Complex, central Germany, were formed and/or altered during different stages of a tectono-metamorphic history between Early Devonian and Permian times. Detrital zircon cores of &gt;460 Ma place an older limit on the age of anatexis, and show that the paragneiss sequence contains rocks at least as young as early Cambrian. Metamorphic zircon growth commenced at similar to365 Ma, peaking at similar to360-355 Ma at the same time that granite dykes were emplaced. In contrast, monazite in the paragneiss preserves little record of the metamorphic peak. Most monazite grains grew or were recrystallised in the Lower Carboniferous at similar to339 Ma, contemporaneous with the emplacement of voluminous diorite and granite bodies. These intrusions and related tectonics caused some of the high-U zircon overgrowths to undergo moderate to severe Pb loss. A second Pb loss event, between 300 and 280 Ma, can be related to Late Carboniferous/Early Permian large-scale block faulting.</t>
  </si>
  <si>
    <t>Inst Mineral, D-97074 Wurzburg, Germany; Australian Natl Univ, Res Sch Earth Sci, Canberra, ACT 0200, Australia; NERC, Isotope Geosci Lab, British Antarctic Survey, Nottingham NG12 5GG, England</t>
  </si>
  <si>
    <t>University of Wurzburg; Australian National University; UK Research &amp; Innovation (UKRI); Natural Environment Research Council (NERC); NERC British Antarctic Survey; NERC British Geological Survey</t>
  </si>
  <si>
    <t>Inst Mineral, Hubland, D-97074 Wurzburg, Germany.</t>
  </si>
  <si>
    <t>armin.zeh@mail.uni-wuerzburg.de</t>
  </si>
  <si>
    <t>Millar, Ian L/F-1541-2010; Williams, Ian S/F-4302-2012; Zeh, Armin/AAS-7028-2020</t>
  </si>
  <si>
    <t>Williams, Ian/0000-0003-4465-6493; Zeh, Armin/0000-0001-5599-7897</t>
  </si>
  <si>
    <t>233 SPRING ST, NEW YORK, NY 10013 USA</t>
  </si>
  <si>
    <t>0010-7999</t>
  </si>
  <si>
    <t>1432-0967</t>
  </si>
  <si>
    <t>CONTRIB MINERAL PETR</t>
  </si>
  <si>
    <t>Contrib. Mineral. Petrol.</t>
  </si>
  <si>
    <t>10.1007/s00410-003-0462-1</t>
  </si>
  <si>
    <t>Geochemistry &amp; Geophysics; Mineralogy</t>
  </si>
  <si>
    <t>723XR</t>
  </si>
  <si>
    <t>WOS:000185457300004</t>
  </si>
  <si>
    <t>Well, R; Roether, W; Stevens, DP</t>
  </si>
  <si>
    <t>An additional deep-water mass in Drake Passage as revealed by 3He data</t>
  </si>
  <si>
    <t>DEEP-SEA RESEARCH PART I-OCEANOGRAPHIC RESEARCH PAPERS</t>
  </si>
  <si>
    <t>interocean exchange; deep ocean; antarctic circumpolar current; water mass analysis; primordial helium; He-3</t>
  </si>
  <si>
    <t>ANTARCTIC CIRCUMPOLAR CURRENT; OPTIMUM MULTIPARAMETER ANALYSIS; TOTAL GEOSTROPHIC CIRCULATION; SOUTH-PACIFIC OCEAN; FLOW PATTERNS; HYDROGRAPHIC SECTIONS; INDIAN-OCEAN; HELIUM; STRATIFICATION; TRANSPORTS</t>
  </si>
  <si>
    <t>We present He-3 data from a repeat section across Drake Passage, from three sections off the South American continent in the Pacific, at 28degreesS, 35degreesS, and 43degreesS, and from three sections in the Atlantic, eastward of the Malvinas, close to 35degreesW, and near the Greenwich Meridian. In Drake Passage, a distinct high-He-3 signal is observed that is centered just above the boundary of the Lower and the Upper Circumpolar Deep Water (LCDW, UCDW), and is concentrated towards the northern continental slope. 3 He concentrations in the Antarctic Circumpolar Current (ACC) upstream of Drake Passage (World Ocean Circulation Experiment section P19 at 88degreesW) are markedly lower than those found in Drake Passage, and a regional source of primordial helium in the path of the ACC that might cause the high-He-3 feature can be ruled out. We explain the feature by addition of high-He-3 waters present at the 43degreesS Pacific section. This supports a previous, similar interpretation of a low-salinity anomaly in Drake Passage (Naveira Garabato et al., Deep-Sea Research 149 (2002) 681), that is strongly related to the high-He-3 feature. Employing multiparameter water mass analysis (including He-3 as a parameter), we find that deep waters as met at the 43degreesS Pacific section, flowing south along the South American continental slope, contribute substantially to the ACC waters in Drake Passage (fractions exceed 50% locally). Lesser, but laterally more extended contributions are found east of the Malvinas, and still smaller ones are present at 35degreesW and at the Greenwich Meridian. Using velocity measurements from one of the two Drake Passage sections, we estimate the volume transport of these waters to be 7.0+/-1.2Sv, but the average transport may be somewhat lower as the other realization had a less pronounced signal. The enhanced 3He signature in Drake Passage is essentially confined north of the Polar Front. Further downstream the signature crosses this front, to the extent that at 35degreesW the contributions south and north of it are of similar magnitude. At the same time, the He-3 levels north of the front are reduced due to a substantial admixture of low-He-3 North Atlantic Deep Water, such that He-3 becomes highest south of the front. The flow of Southeast Pacific deep slope waters entering the ACC constitutes the predominant exit pathway of the primordial helium released in the deep Pacific, and represents a considerable fraction of the deep water return flow from the Pacific into the ACC. Therefore and also because the density range of the added deep slope waters is intermediate between those of UCDW and LCDW, they must be considered a distinct water mass. (C) 2003 Elsevier Ltd. All rights reserved.</t>
  </si>
  <si>
    <t>Univ Bremen, Inst Umweltphys, D-28344 Bremen, Germany; Univ E Anglia, Sch Math, Norwich NR4 7TJ, Norfolk, England</t>
  </si>
  <si>
    <t>University of Bremen; University of East Anglia</t>
  </si>
  <si>
    <t>Univ Bremen, Inst Umweltphys, FB 1,Postfach 330440, D-28344 Bremen, Germany.</t>
  </si>
  <si>
    <t>wroether@physik.uni-bremen.de</t>
  </si>
  <si>
    <t>Stevens, David/F-2509-2010</t>
  </si>
  <si>
    <t>Stevens, David/0000-0002-7283-4405</t>
  </si>
  <si>
    <t>0967-0637</t>
  </si>
  <si>
    <t>1879-0119</t>
  </si>
  <si>
    <t>DEEP-SEA RES PT I</t>
  </si>
  <si>
    <t>Deep-Sea Res. Part I-Oceanogr. Res. Pap.</t>
  </si>
  <si>
    <t>10.1016/S0967-0637(03)00050-5</t>
  </si>
  <si>
    <t>767PB</t>
  </si>
  <si>
    <t>Green Accepted, Green Submitted</t>
  </si>
  <si>
    <t>WOS:000188458700003</t>
  </si>
  <si>
    <t>Préndez, M; Carrasco, MA</t>
  </si>
  <si>
    <t>Elemental composition of surface waters in the Antarctic Peninsula and interactions with the environment</t>
  </si>
  <si>
    <t>ENVIRONMENTAL GEOCHEMISTRY AND HEALTH</t>
  </si>
  <si>
    <t>Antarctic surface waters; local and long-range atmospheric aerosols; snow-water-soil and rock interaction; total and dissolved elements</t>
  </si>
  <si>
    <t>TRACE-METALS; HEAVY-METAL; AEROSOLS; LAKE</t>
  </si>
  <si>
    <t>The fast changes in chemical and biological properties of many coastal and inland waters in the last decades reflect the pressure of man on the environment. The surface waters of the Antarctic Peninsula, located far from industrial or populated areas, could eventually be used as background lines. Surface water samples were taken from five lagoons of King George Island, Antarctic Peninsula, and from the Kitiesh Lake. Sample pH and electrical conductivity were analysed in situ and in the laboratory, respectively. The dissolved fractions were analysed in 1997 and 1998. Total concentrations only for 1998 were determined in another fraction adjusted to pH 2. Aluminium, Ca, Cr, Mn, Co, Ni, Cu, Zn, As, Se, Sr, Cd, Sn, Sb, Ba, Bi, and Pb were quantified in all samples by means of inductively coupled plasma-mass spectrometry (ICP-MS). Total and dissolved elemental concentrations were discussed considering the composition of particulate material suspended in the waters removed by streams or by water runoff, or from atmospheric aerosols. Concentrations of dissolved elements change from one lagoon to another. Total and dissolved elemental concentrations could be related to water movement by windstorms, to chemical mechanisms in water and/or to natural and anthropogenic atmospheric factors.</t>
  </si>
  <si>
    <t>Univ Chile, Fac Ciencias Quim &amp; Farmaceut, Santiago, Chile; Univ Chile, Fac Ciencias Agron, Santiago, Chile</t>
  </si>
  <si>
    <t>Universidad de Chile; Universidad de Chile</t>
  </si>
  <si>
    <t>Univ Chile, Fac Ciencias Quim &amp; Farmaceut, Casilla 233, Santiago, Chile.</t>
  </si>
  <si>
    <t>mprendez@ciq.uchile.cl; acarrasc@uchile.cl</t>
  </si>
  <si>
    <t>0269-4042</t>
  </si>
  <si>
    <t>1573-2983</t>
  </si>
  <si>
    <t>ENVIRON GEOCHEM HLTH</t>
  </si>
  <si>
    <t>Environ. Geochem. Health</t>
  </si>
  <si>
    <t>10.1023/A:1024559809076</t>
  </si>
  <si>
    <t>Engineering, Environmental; Environmental Sciences; Public, Environmental &amp; Occupational Health; Water Resources</t>
  </si>
  <si>
    <t>Engineering; Environmental Sciences &amp; Ecology; Public, Environmental &amp; Occupational Health; Water Resources</t>
  </si>
  <si>
    <t>696TV</t>
  </si>
  <si>
    <t>WOS:000183904400005</t>
  </si>
  <si>
    <t>Knowles, TG; Farrington, D; Kestin, SC</t>
  </si>
  <si>
    <t>Mercury in UK imported fish and shellfish and UK-farmed fish and their products</t>
  </si>
  <si>
    <t>FOOD ADDITIVES AND CONTAMINANTS</t>
  </si>
  <si>
    <t>mercury; fish; shellfish; salmon; trout</t>
  </si>
  <si>
    <t>CONTAMINATION; RISK</t>
  </si>
  <si>
    <t>Total mercury concentrations were measured in fish and shellfish and their products imported into the UK and also in UK-produced farmed salmon and trout. Three hundred and thirty-six samples were collected using a two-stage sampling plan. The sample plan was weighted to reflect consumption, but with some bias towards fish that might accumulate higher levels of mercury, such as large predatory fish at the top of the food chain. The highest levels of total mercury were found in billfish (swordfish and marlin) and shark. Mercury concentrations in the five samples of fresh/frozen shark ranged from 1.006 to 2.200 mg kg(-1) , all above the European Commission limit for the species, and concentrations in 20 samples of fresh/frozen billfish ranged from 0.153 to 2.706 mg kg(-1) with 13 samples above the 1.0 mg kg(-1) limit for the species. One sample of Antarctic ice fish was collected and had a mercury concentration of 0.664 mg kg(-1) . The limit for this species was 0.5 mg kg(-1) . One sample of fresh/frozen tuna out of the 20 collected had a mercury concentration above the limit of 1.0 mg kg(-1) (1.5 mg kg(-1) ), but all other fresh tuna samples were well within the regulatory limit (average 0.4 mg kg(-1) ). Mercury concentrations in canned tuna were lower with concentrations on average half that measured in fresh/frozen tuna. Mercury concentrations in UK-farmed salmon and trout were relatively low. The maximum concentration found in 46 samples of fresh/frozen or smoked trout and salmon was 0.103 mg kg(-1).</t>
  </si>
  <si>
    <t>Univ Bristol, Sch Vet Sci, Bristol BS40 5DU, Avon, England; Direct Labs, Wolverhampton WV6 8TQ, England</t>
  </si>
  <si>
    <t>University of Bristol</t>
  </si>
  <si>
    <t>Knowles, TG (corresponding author), Univ Bristol, Sch Vet Sci, Bristol BS40 5DU, Avon, England.</t>
  </si>
  <si>
    <t>Fennell, Hannah/AAI-1408-2019; Knowles, Toby G/A-2026-2008</t>
  </si>
  <si>
    <t>Knowles, Toby G/0000-0002-3845-0942</t>
  </si>
  <si>
    <t>TAYLOR &amp; FRANCIS LTD</t>
  </si>
  <si>
    <t>ABINGDON</t>
  </si>
  <si>
    <t>4 PARK SQUARE, MILTON PARK, ABINGDON OX14 4RN, OXON, ENGLAND</t>
  </si>
  <si>
    <t>0265-203X</t>
  </si>
  <si>
    <t>FOOD ADDIT CONTAM</t>
  </si>
  <si>
    <t>Food Addit. Contam.</t>
  </si>
  <si>
    <t>10.1080/0265203031000152398</t>
  </si>
  <si>
    <t>Chemistry, Applied; Food Science &amp; Technology; Toxicology</t>
  </si>
  <si>
    <t>Chemistry; Food Science &amp; Technology; Toxicology</t>
  </si>
  <si>
    <t>722QB</t>
  </si>
  <si>
    <t>WOS:000185386600005</t>
  </si>
  <si>
    <t>Kopp, RE; Humayun, M</t>
  </si>
  <si>
    <t>Kinetic model of carbonate dissolution in Martian meteorite ALH84001</t>
  </si>
  <si>
    <t>GEOCHIMICA ET COSMOCHIMICA ACTA</t>
  </si>
  <si>
    <t>DIVALENT METAL CARBONATES; ALLAN HILLS 84001; LOW-TEMPERATURE; ISOTOPIC COMPOSITION; MAGNETITE CRYSTALS; SOLUTION INTERFACE; SNC METEORITES; WEATHERING PRODUCTS; OXYGEN-ISOTOPE; MARS</t>
  </si>
  <si>
    <t>The magnetites and sulfides located in the rims of carbonate globules in the Martian meteorite ALH84001 have been claimed as evidence of past life on Mars. Here, we consider the possibility that the rims were formed by dissolution and reprecipitation of the primary carbonate by the action of water. To estimate the rate of these solution-precipitation reactions, a kinetic model of magnesite-siderite carbonate dissolution was applied and used to examine the physicochemical conditions under which these rims might have formed. The results indicate that the formation of the rims could have taken place in &lt; 50 yr of exposure to small amounts of aqueous fluids at ambient temperatures. Plausible conditions pertaining to reactions under a hypothetical ancient Martian atmosphere (I bar CO2), the modern Martian atmosphere (8 mbar CO2), and the present terrestrial atmosphere (0.35 mbar CO2) were explored to constrain the site of the process. The results indicated that such reactions likely occurred under the latter two conditions. The possibility of Antarctic weathering must be entertained, which, if correct, would imply that the plausibly biogenic minerals (single-domain magnetite of characteristic morphology and sulfide) reported from the rims may be the products of terrestrial microbial activity. This model is discussed in terms of the available isotope data and found to be compatible with the formation of ALH84001 rims. Particularly, anticorrelated variations of radiocarbon with delta(13)C indicate that carbonate in ALH84001 was affected by solution-precipitation reactions immediately after its initial fall (similar to13,000 yr ago) and then again during its recent exposure prior to collection. Copyright (C) 2003 Elsevier Ltd.</t>
  </si>
  <si>
    <t>Univ Chicago, Dept Geophys Sci, Chicago, IL 60637 USA</t>
  </si>
  <si>
    <t>University of Chicago</t>
  </si>
  <si>
    <t>Univ Chicago, Dept Geophys Sci, 5734 S Ellis Ave, Chicago, IL 60637 USA.</t>
  </si>
  <si>
    <t>hum8@midway.uchicago.edu</t>
  </si>
  <si>
    <t>Humayun, Munir/A-1247-2007; Kopp, Robert E/B-8822-2008</t>
  </si>
  <si>
    <t>Kopp, Robert/0000-0003-4016-9428; Humayun, Munir/0000-0001-8516-9435</t>
  </si>
  <si>
    <t>0016-7037</t>
  </si>
  <si>
    <t>1872-9533</t>
  </si>
  <si>
    <t>GEOCHIM COSMOCHIM AC</t>
  </si>
  <si>
    <t>Geochim. Cosmochim. Acta</t>
  </si>
  <si>
    <t>PII S0016-7037(02)01114-6</t>
  </si>
  <si>
    <t>10.1016/S0016-7037(02)01114-6</t>
  </si>
  <si>
    <t>717VJ</t>
  </si>
  <si>
    <t>WOS:000185111200011</t>
  </si>
  <si>
    <t>Akai, J; Aoki, T; Saito, M</t>
  </si>
  <si>
    <t>Nano to micro minerals/materials in Antarctic carbonaceous chondrites</t>
  </si>
  <si>
    <t>13th Annual VM Goldschmidt Conference</t>
  </si>
  <si>
    <t>SEP 07-12, 2003</t>
  </si>
  <si>
    <t>KURASHIKI, JAPAN</t>
  </si>
  <si>
    <t>Niigata Univ, Fac Sci, Dept Geol, Niigata 9502181, Japan</t>
  </si>
  <si>
    <t>Niigata University</t>
  </si>
  <si>
    <t>akai@sc.niigata-u.ac.jp</t>
  </si>
  <si>
    <t>A10</t>
  </si>
  <si>
    <t>724ZF</t>
  </si>
  <si>
    <t>WOS:000185517600016</t>
  </si>
  <si>
    <t>Bory, AJM; Biscaye, PE; Grousset, FE; Zdanowicz, CM; Prospero, JM</t>
  </si>
  <si>
    <t>East-asian dust sources and long-range transport: Mineralogical and isotopic (Sr and Nd) constraints</t>
  </si>
  <si>
    <t>Univ Miami, Rosenstiel Sch Marine &amp; Atmospher Sci, Miami, FL 33149 USA; Geol Survey Canada, Ottawa, ON, Canada; Univ Bordeaux 1, EPOC, UMR 5805, F-33405 Talence, France; Columbia Univ, Lamont Doherty Earth Observ, Palisades, NY USA; British Antarctic Survey, Cambridge CB3 0ET, England</t>
  </si>
  <si>
    <t>University of Miami; Natural Resources Canada; Lands &amp; Minerals Sector - Natural Resources Canada; Geological Survey of Canada; Centre National de la Recherche Scientifique (CNRS); CNRS - National Institute for Earth Sciences &amp; Astronomy (INSU); Universite de Bordeaux; Columbia University; UK Research &amp; Innovation (UKRI); Natural Environment Research Council (NERC); NERC British Antarctic Survey</t>
  </si>
  <si>
    <t>abory@bas.ac.uk</t>
  </si>
  <si>
    <t>Prospero, Joseph/AAT-6996-2020</t>
  </si>
  <si>
    <t>A43</t>
  </si>
  <si>
    <t>WOS:000185517600082</t>
  </si>
  <si>
    <t>Handler, MR; Wysoczanski, RJ; Bennett, VC; Gamble, JA; Berg, JH</t>
  </si>
  <si>
    <t>Evolution of the Paleo-Pacific Gondwana margin: Isotopic constraints from west antarctic and east Australian mantle xenoliths.</t>
  </si>
  <si>
    <t>Carnegie Inst Sci, DTM, Washington, DC 20005 USA; Australian Natl Univ, RSES, Canberra, ACT, Australia; Natl Univ Ireland Univ Coll Cork, Dept Geol, Cork, Ireland; No Illinois Univ, De Kalb, IL 60115 USA</t>
  </si>
  <si>
    <t>Carnegie Institution for Science; Australian National University; University College Cork; Northern Illinois University</t>
  </si>
  <si>
    <t>monica@jamstec.go.jp</t>
  </si>
  <si>
    <t>Bennett, Vickie/0000-0003-0937-3471</t>
  </si>
  <si>
    <t>A132</t>
  </si>
  <si>
    <t>WOS:000185517600258</t>
  </si>
  <si>
    <t>Nagao, K; Okazaki, R; Imae, N; Kojima, H</t>
  </si>
  <si>
    <t>Noble gases in Yamato 000749 nakhlite by laser microprobe analysis</t>
  </si>
  <si>
    <t>Univ Tokyo, Earthquake Chem Lab, Grad Sch Sci, Bunkyo Ku, Tokyo 1130033, Japan; Antarctic Meteorite Res Ctr, Natl Inst Polar Res, Itabashi Ku, Tokyo 1738515, Japan</t>
  </si>
  <si>
    <t>University of Tokyo; Research Organization of Information &amp; Systems (ROIS); National Institute of Polar Research (NIPR) - Japan</t>
  </si>
  <si>
    <t>nagao@eqcbem.s.u-tokyo.ac.jp</t>
  </si>
  <si>
    <t>A319</t>
  </si>
  <si>
    <t>WOS:000185517600628</t>
  </si>
  <si>
    <t>Suzuki, T; Kamiyama, K; Fujii, Y</t>
  </si>
  <si>
    <t>Spatial variability of natural radionuclides, 7Be and 210Pb in the Antarctic ice sheet</t>
  </si>
  <si>
    <t>Yamagata Univ, Fac Sci, Dept Earth &amp; Environm Sci, Yamagata 9908560, Japan; Natl Inst Polar Res, Itabashi Ku, Tokyo 1738515, Japan</t>
  </si>
  <si>
    <t>Yamagata University; Research Organization of Information &amp; Systems (ROIS); National Institute of Polar Research (NIPR) - Japan</t>
  </si>
  <si>
    <t>suzuki@sci.kj.yamagata-u.ac.jp; kamiyama@pmg.nipr.ac.jp; fujii@pmg.nipr.ac.jp</t>
  </si>
  <si>
    <t>A460</t>
  </si>
  <si>
    <t>WOS:000185517600908</t>
  </si>
  <si>
    <t>Tada, Y; Wada, H; Miura, H</t>
  </si>
  <si>
    <t>The seasonal isotopic record of Antarctic bivalve shell</t>
  </si>
  <si>
    <t>Shizuoka Univ, Grad Sch Sci &amp; Technol, Shizuoka, Japan; Shizuoka Univ, Fac Sci, Inst Geosci, Shizuoka, Japan; Natl Inst Polar Res, Tokyo 173, Japan</t>
  </si>
  <si>
    <t>Shizuoka University; Shizuoka University; Research Organization of Information &amp; Systems (ROIS); National Institute of Polar Research (NIPR) - Japan</t>
  </si>
  <si>
    <t>tada@se-geomail.sci.shizuoka.ac.jp; sehwada@ipc.shizuoka.ac.jp; miura@nipr.ac.jp</t>
  </si>
  <si>
    <t>A465</t>
  </si>
  <si>
    <t>WOS:000185517600916</t>
  </si>
  <si>
    <t>Tomiyama, T; Yamaguchi, A; Misawa, K</t>
  </si>
  <si>
    <t>Cooling history of L chondrites</t>
  </si>
  <si>
    <t>Grad Univ Adv Studies, Sch Math &amp; Phys, Dept Polar Sci, Tokyo 1738515, Japan; Antarctic Meteorite Res Ctr, Natl Inst Polar Res, Tokyo 1738515, Japan</t>
  </si>
  <si>
    <t>Graduate University for Advanced Studies - Japan; Research Organization of Information &amp; Systems (ROIS); National Institute of Polar Research (NIPR) - Japan</t>
  </si>
  <si>
    <t>tomiyama@nipr.ac.jp; yamaguch@nipr.ac.jp; misawa@nipr.ac.jp</t>
  </si>
  <si>
    <t>A486</t>
  </si>
  <si>
    <t>WOS:000185517600958</t>
  </si>
  <si>
    <t>Brachfeld, S; Domack, E; Kissel, C; Laj, C; Leventer, A; Ishman, S; Gilbert, R; Camerlenghi, A; Eglinton, LB</t>
  </si>
  <si>
    <t>Holocene history of the Larsen-A Ice Shelf constrained by geomagnetic paleointensity dating</t>
  </si>
  <si>
    <t>GEOLOGY</t>
  </si>
  <si>
    <t>Larsen Ice Shelf; Antarctic Peninsula; geomagnetic paleointensity; holocene</t>
  </si>
  <si>
    <t>ANTARCTIC PENINSULA; CONTINENTAL-SHELF; ROSS SEA; ATLANTIC; SHEET; CORE; RADIOCARBON; SEDIMENTS; RETREAT; FIELD</t>
  </si>
  <si>
    <t>A sedimentary record collected from beneath the former Larsen-A Ice Shelf reveals the Holocene history of the Larsen-A region. The record begins with the transition from grounded ice to a floating ice shelf, completed by 10.7 +/- 0.5 ka, and ends with the modern recession. The record contains several late Holocene diatomaceous ooze layers that suggest proximity to productive open-water events. Radiocarbon ages obtained from these sediments were compticated by the presence of detrital and reworked carbon. We have eliminated these complications and constructed a chronology for the Larsen-A Ice Shelf history via tuning of the geomagnetic field paleointensity record with a reference curve. This approach provides chronological control to sediment sequences that lack appropriate material for radiocarbon dating. Geomagnetic palleointensity features with wavelengths of 2-3 k.y. can be recognized and interhemispherically correlated, illustrating the potential to use geomagnetic palleointensity variations as a global correlation and dating tool at sub-Milankovitch time scales.</t>
  </si>
  <si>
    <t>Ohio State Univ, Byrd Polar Res Ctr, Columbus, OH 43210 USA; Hamilton Coll, Dept Geol, Clinton, NY 13323 USA; Lab Sci Climat &amp; Environm, Unite Mixte Commissariat Energie Atom, Gif Sur Yvette, France; CNRS, Gif Sur Yvette, France; Colgate Univ, Dept Geol, Hamilton, NY 13346 USA; So Illinois Univ, Dept Geol, Carbondale, IL 62901 USA; Queens Univ, Dept Geog, Kingston, ON K7L 3N6, Canada; Ist Nazl Oceanog &amp; Geofis Sperimentale, Trieste, Italy; Woods Hole Oceanog Inst, Dept Marine Chem &amp; Geochem, Woods Hole, MA 02543 USA</t>
  </si>
  <si>
    <t>University System of Ohio; Ohio State University; Hamilton College; CEA; Centre National de la Recherche Scientifique (CNRS); Universite Paris Saclay; Universite Paris Saclay; Centre National de la Recherche Scientifique (CNRS); Colgate University; Southern Illinois University System; Southern Illinois University; Queens University - Canada; Istituto Nazionale di Oceanografia e di Geofisica Sperimentale; Woods Hole Oceanographic Institution</t>
  </si>
  <si>
    <t>Montclair State Univ, Dept Earth &amp; Planetary Sci, Montclair, NJ 07043 USA.</t>
  </si>
  <si>
    <t>Camerlenghi, Angelo/C-8816-2011; Camerlenghi, Angelo/AAG-3852-2019; Catherine, Kissel/AAH-1647-2019; Camerlenghi, Angelo/O-1593-2013</t>
  </si>
  <si>
    <t>Camerlenghi, Angelo/0000-0002-8128-9533; Catherine, Kissel/0000-0002-2572-2742; Camerlenghi, Angelo/0000-0002-8128-9533; Brachfeld, Stefanie/0000-0003-4612-2866; Leventer, Amy/0000-0001-9401-0987</t>
  </si>
  <si>
    <t>GEOLOGICAL SOC AMER, INC</t>
  </si>
  <si>
    <t>BOULDER</t>
  </si>
  <si>
    <t>PO BOX 9140, BOULDER, CO 80301-9140 USA</t>
  </si>
  <si>
    <t>0091-7613</t>
  </si>
  <si>
    <t>1943-2682</t>
  </si>
  <si>
    <t>10.1130/G19643.1</t>
  </si>
  <si>
    <t>717JF</t>
  </si>
  <si>
    <t>WOS:000185084800004</t>
  </si>
  <si>
    <t>Grützner, J; Rebesco, MA; Cooper, AK; Forsberg, CF; Kryc, KA; Wefer, G</t>
  </si>
  <si>
    <t>Evidence for orbitally controlled size variations of the East Antarctic Ice Sheet during the late Miocene</t>
  </si>
  <si>
    <t>paleoclimatology; Ocean Drilling Program; Atarctic Ie Sheet; Prydz Bay; Milankovitch theory; Miocene</t>
  </si>
  <si>
    <t>SEDIMENTS; ATLANTIC</t>
  </si>
  <si>
    <t>Ocean Drilling Program Site 1165 penetrated drift sediments on the East Antarctic continental rise and recovered sediments from a low-energy depositional environment. The sediments are characterized by prominent alternations between a green to greenish-gray diatom-bearing hemipelagic facies and gray to dark gray hemiturbiditic facies. Our investigation of an upper Miocene section, using high-resolution color spectra, multisensor core logs, and X-ray fluorescence scans, reveals that sedimentation changes occur at Millankovitch orbital frequencies of obliquity and precession. We use this finding to derive an astronomical calibrated time scale and to calculate iron mass-accumulation rates, as a proxy for sediment-accumulation rates. Terrigenous iron fluxes change by as much as 100% during each obliquity cycle. This change and an episodic pattern of enhanced ice-rafted debris deposition during times of deglaciation provide evidence for a dynamic and likely wet-based late Miocene East Antarctic Ice Sheet (EAIS) that underwent large size variations at orbital time scales. The dynamic behavior of the EAIS implies that a significant proportion of the variability seen in oxygen isotope records of the late Miocene reflects Antarctic ice-volume changes.</t>
  </si>
  <si>
    <t>Univ Bremen, Dept Geosci, D-28334 Bremen, Germany; Ist Nazl Oceanog &amp; Geofis Sperimentale, I-34010 Sgonico, Italy; Stanford Univ, Dept Geol &amp; Environm Sci, Stanford, CA 94305 USA; Norwegian Geotech Inst, N-0806 Oslo, Norway</t>
  </si>
  <si>
    <t>University of Bremen; Istituto Nazionale di Oceanografia e di Geofisica Sperimentale; Stanford University; Norwegian Geotechnical Institute, NGI</t>
  </si>
  <si>
    <t>Grützner, J (corresponding author), Univ Bremen, Dept Geosci, POB 330440, D-28334 Bremen, Germany.</t>
  </si>
  <si>
    <t>Rebesco, Michele/B-7462-2014; Wefer, Gerold/S-2291-2016</t>
  </si>
  <si>
    <t>Rebesco, Michele/0000-0002-9492-4081; Wefer, Gerold/0000-0002-6803-2020; Gruetzner, Jens/0000-0001-5445-2393</t>
  </si>
  <si>
    <t>GEOLOGICAL SOC AMERICA, INC</t>
  </si>
  <si>
    <t>10.1130/G19574.1</t>
  </si>
  <si>
    <t>Green Submitted</t>
  </si>
  <si>
    <t>WOS:000185084800011</t>
  </si>
  <si>
    <t>Hicock, SR; Barrett, PJ; Holme, PJ</t>
  </si>
  <si>
    <t>Fragment of an ancient outlet glacier system near the top of the Transantarctic Mountains</t>
  </si>
  <si>
    <t>Antarctic Ice Sheet; Transantarctic Mountains; Sirius Group; Mount Feather; tillite</t>
  </si>
  <si>
    <t>SOUTHERN VICTORIA-LAND; SUBGLACIAL TILL; SIRIUS GROUP; ANTARCTICA; FEATHER; RANGE; FLOW; EAST</t>
  </si>
  <si>
    <t>Sirius Group tillite near the summit of Mount Feather, Transantarctic Mountains, is critically located for reconstructing past behavior of the East Antarctic lee Sheet. New ice-direction indicators and tillite geometry show that the tillite accumulated beneath wet-based ice on a transverse paleovalley floor-a hanging remnant of a landscape largely removed by erosion. We conclude that the Mount Feather tillite formed primarily by lodgment as part of an ancient, wet-based, outlet glacier system when the Transantarctic Mountains were at least 1500 m lower than today. Till deposition took place before 20 Ma on the basis of estimated past uplift rates.</t>
  </si>
  <si>
    <t>Univ Western Ontario, Dept Earth Sci, London, ON N6A 5B7, Canada; Victoria Univ Wellington, Antarctic Res Ctr, Wellington, New Zealand; Victoria Univ Wellington, Sch Earth Sci, Wellington, New Zealand</t>
  </si>
  <si>
    <t>Western University (University of Western Ontario); Victoria University Wellington; Victoria University Wellington</t>
  </si>
  <si>
    <t>Univ Western Ontario, Dept Earth Sci, London, ON N6A 5B7, Canada.</t>
  </si>
  <si>
    <t>10.1130/G19686.1</t>
  </si>
  <si>
    <t>WOS:000185084800022</t>
  </si>
  <si>
    <t>Danilova, OA; Dorman, LI; Tyasto, MI; Ptitsyna, NG; Villoresi, J; Parisi, M; Lucci, N</t>
  </si>
  <si>
    <t>Cosmic rays in the magnetosphere at a solar activity minimum (1996-1997): 1. Cutoff rigidities of obliquely incident cosmic rays</t>
  </si>
  <si>
    <t>GEOMAGNETISM AND AERONOMY</t>
  </si>
  <si>
    <t>COUPLING FUNCTIONS; NEUTRON COMPONENT; ANTARCTICA; FIELD</t>
  </si>
  <si>
    <t>Cutoff rigidities of obliquely incident cosmic rays in the total magnetospheric magnetic field of internal and external sources have been computed by the tra jectory tracing method. The MAP1995 and Tsyganenko 1989 models were used to describe the fields of internal and external sources, respectively. Cutoff rigidities have been computed for the Italian Antarctic Expedition at geographic points corresponding to daily average coordinates of the Italica expedition ship for zenith angles of 15degrees, 30degrees, 45degrees, and 60degrees and azimuthal directions changing from 0degrees to 360degrees at an interval of 45degrees.</t>
  </si>
  <si>
    <t>Russian Acad Sci, Inst Terr Magnetism Ionosphere &amp; Radiowave Propag, St Petersburg Branch, St Petersburg 191023, Russia; Russian Acad Sci, Inst Terr Magnetism Ionosphere &amp; Radiowave Propag, Troitsk 142190, Moscow Oblast, Russia; Tel Aviv Univ, Israeli Ctr Cosm Rays, IL-69978 Tel Aviv, Israel; Tel Aviv Univ, E Segre Observ, IL-69978 Tel Aviv, Israel; Univ Rome 3, Rome, Italy</t>
  </si>
  <si>
    <t>Russian Academy of Sciences; Pushkov Institute of Terrestrial Magnetism, Ionosphere &amp; Radio Wave Propagation; Russian Academy of Sciences; Pushkov Institute of Terrestrial Magnetism, Ionosphere &amp; Radio Wave Propagation; Tel Aviv University; Tel Aviv University; Roma Tre University</t>
  </si>
  <si>
    <t>Danilova, OA (corresponding author), Russian Acad Sci, Inst Terr Magnetism Ionosphere &amp; Radiowave Propag, St Petersburg Branch, Muchnoi Proezd 2, St Petersburg 191023, Russia.</t>
  </si>
  <si>
    <t>Danilova, Olga/HNR-9373-2023; parisi, mario/O-8924-2018</t>
  </si>
  <si>
    <t>parisi, mario/0000-0001-5550-5135</t>
  </si>
  <si>
    <t>INTERPERIODICA</t>
  </si>
  <si>
    <t>BIRMINGHAM</t>
  </si>
  <si>
    <t>PO BOX 1831, BIRMINGHAM, AL 35201-1831 USA</t>
  </si>
  <si>
    <t>0016-7932</t>
  </si>
  <si>
    <t>GEOMAGN AERONOMY+</t>
  </si>
  <si>
    <t>Geomagn. Aeron.</t>
  </si>
  <si>
    <t>SEP-OCT</t>
  </si>
  <si>
    <t>732XB</t>
  </si>
  <si>
    <t>WOS:000185969900001</t>
  </si>
  <si>
    <t>Dorman, LI; Danilova, OA; Ptitsina, NG; Tyasto, MI; Villoresi, J; Parisi, M; Iucci, N</t>
  </si>
  <si>
    <t>Cosmic rays in the magnetosphere at a solar activity minimum (1996-1997): 2. Apparent cutoff rigidities</t>
  </si>
  <si>
    <t>COUPLING FUNCTIONS; NEUTRON COMPONENT; ANTARCTICA</t>
  </si>
  <si>
    <t>Apparent cutoff rigidities have been determined based on the trajectory computations performed for obliquely incident particles at geographic points along the route of the Italian Antarctic Expedition. The computations were made for eight azimuth (at an interval of 45degrees) and five zenith (at an interval of 15degrees) angles. Data on the dependence of the integral multiplicity of secondary neutrons (recorded by a neutron monitor) on the zenith angle of arrival of primary particles were also used to compute apparent cutoff rigidities. These data on integral multiplicity were obtained from theoretical computations of meson-nucleon cascades of primary protons of different rigidity coming into the Earth's atmosphere at zenith angles of 0degrees, 15degrees, 30degrees, 45degrees, 60degrees, and 75degrees [Dorman and Pakhomov, 1979]. Results of [Dorman and Pakhomov, 1979] have been verified and normalized using coupling coefficients obtained in [Dorman et al., 2000]. The computed apparent cutoff rigidities have been compared with apparent cutoff rigidities obtained in [Clem et al., 1997] and with rigidities computed in [Dorman et al., 2000], partially using a dipole approximation of the geomagnetic field.</t>
  </si>
  <si>
    <t>Russian Acad Sci, Inst Terr Magnetism Ionosphere &amp; Radiowave Propag, Troitsk 142190, Moscow Oblast, Russia; Tel Aviv Univ, Israeli Ctr Cosm Rays, IL-69978 Tel Aviv, Israel; Tel Aviv Univ, E Segre Observ, IL-69978 Tel Aviv, Israel; Russian Acad Sci, Inst Terr Magnetism Ionosphere &amp; Radiowave Propag, St Petersburg Branch, St Petersburg 191023, Russia; Univ Rome 3, Rome, Italy</t>
  </si>
  <si>
    <t>Russian Academy of Sciences; Pushkov Institute of Terrestrial Magnetism, Ionosphere &amp; Radio Wave Propagation; Tel Aviv University; Tel Aviv University; Russian Academy of Sciences; Pushkov Institute of Terrestrial Magnetism, Ionosphere &amp; Radio Wave Propagation; Roma Tre University</t>
  </si>
  <si>
    <t>Dorman, LI (corresponding author), Russian Acad Sci, Inst Terr Magnetism Ionosphere &amp; Radiowave Propag, Troitsk 142190, Moscow Oblast, Russia.</t>
  </si>
  <si>
    <t>parisi, mario/O-8924-2018; Danilova, Olga/HNR-9373-2023</t>
  </si>
  <si>
    <t>parisi, mario/0000-0001-5550-5135;</t>
  </si>
  <si>
    <t>WOS:000185969900002</t>
  </si>
  <si>
    <t>Gladysheva, OG; Dmitriev, PB; Barkov, NI; Ekaikin, AA; Nikonorov, VV</t>
  </si>
  <si>
    <t>Nitrate content of snow at Vostok station, Antarctica</t>
  </si>
  <si>
    <t>FISSION-PRODUCTS; REFERENCE LEVEL; ICE</t>
  </si>
  <si>
    <t>Results of measurino nitrate (NO3-) concentrations in the upper 3-m-deep snow layer at Vostok station (Antarctica), which corresponds to the snow accumulation for the last 50 years, are presented. It has been found out that the nitrate content of snow considerably decreases with depth. The Antarctic and Greenland data series have been compared. The possibility of isolating a factor (common for both Earth's hemispheres) affecting the amount of nitrates in ice accumulations is discussed.</t>
  </si>
  <si>
    <t>Russian Acad Sci, AF Ioffe Physicotech Inst, St Petersburg 194021, Russia; Russian Acad Sci, Arctic &amp; Antarctic Res Inst, St Petersburg 199397, Russia; St Petersburg State Univ, St Petersburg, Russia</t>
  </si>
  <si>
    <t>Russian Academy of Sciences; St. Petersburg Scientific Centre of the Russian Academy of Sciences; Ioffe Physical Technical Institute; Russian Academy of Sciences; Arctic &amp; Antarctic Research Institute; Saint Petersburg State University</t>
  </si>
  <si>
    <t>Gladysheva, OG (corresponding author), Russian Acad Sci, AF Ioffe Physicotech Inst, Politekhnicheskaya Ul 26, St Petersburg 194021, Russia.</t>
  </si>
  <si>
    <t>Olga.Gladysheva@pop.ioffe.rssi.ru</t>
  </si>
  <si>
    <t>Gladysheva, Olga G//G-2117-2014; Lipenkov, Vladimir/Q-8262-2016</t>
  </si>
  <si>
    <t>MAIK NAUKA/INTERPERIODICA/SPRINGER</t>
  </si>
  <si>
    <t>233 SPRING ST, NEW YORK, NY 10013-1578 USA</t>
  </si>
  <si>
    <t>1555-645X</t>
  </si>
  <si>
    <t>WOS:000185969900019</t>
  </si>
  <si>
    <t>Ascaso, C; Wierzchos, J</t>
  </si>
  <si>
    <t>The search for biomarkers and microbial fossils in Antarctic rock microhabitats</t>
  </si>
  <si>
    <t>GEOMICROBIOLOGY JOURNAL</t>
  </si>
  <si>
    <t>Antarctic granite and sandstone; biomarkers; cryptoendoliths; microbial fossils</t>
  </si>
  <si>
    <t>BIOWEATHERED GRANITIC BIOTITE; ENDOLITHIC MICROORGANISMS; LIFE; PRECIPITATION; BASALT; CARBON; DESERT; SILICA; IRON; HOT</t>
  </si>
  <si>
    <t>The survival of lithobiontic microbial communities in Antarctica's extreme cold, dry environment is conditioned by changes in external climatic conditions that can lead to the death of these microorganisms. In the present study, granite samples from maritime Antarctica and sandstone from the Antarctic continental desert were collected with the aim of searching for biomarkers and microbial fossils at the microscopic level of observation. The results reveal the presence of inorganic biomarkers in the form of physicochemical bioweathering mineral patterns, and inorganic deposits such as calcium oxalates and silica. The presence of fossilised algae and other microorganisms within the sandstone rock was also confirmed. Identifying the internal cell structure within the fossilised cells is proposed as a new criterion for the biogenicity of biomorphs.</t>
  </si>
  <si>
    <t>CSIC, Ctr Ciencias Medioambientales, Madrid 28006, Spain; Univ Lleida, Serv Microscopia Elect, Lleida, Spain</t>
  </si>
  <si>
    <t>Consejo Superior de Investigaciones Cientificas (CSIC); CSIC - Centro de Ciencias Medioambientales (CCMA); Universitat de Lleida</t>
  </si>
  <si>
    <t>CSIC, Ctr Ciencias Medioambientales, Serrano 115 Bis, Madrid 28006, Spain.</t>
  </si>
  <si>
    <t>ascaso@ccma.csic.es</t>
  </si>
  <si>
    <t>Ascaso, Carmen/F-5369-2011; Wierzchos, Jacek/F-7036-2011</t>
  </si>
  <si>
    <t>Ascaso, Carmen/0000-0001-9665-193X; Wierzchos, Jacek/0000-0003-3084-3837</t>
  </si>
  <si>
    <t>TAYLOR &amp; FRANCIS INC</t>
  </si>
  <si>
    <t>PHILADELPHIA</t>
  </si>
  <si>
    <t>530 WALNUT STREET, STE 850, PHILADELPHIA, PA 19106 USA</t>
  </si>
  <si>
    <t>0149-0451</t>
  </si>
  <si>
    <t>1521-0529</t>
  </si>
  <si>
    <t>GEOMICROBIOL J</t>
  </si>
  <si>
    <t>Geomicrobiol. J.</t>
  </si>
  <si>
    <t>10.1080/713851127</t>
  </si>
  <si>
    <t>Environmental Sciences; Geosciences, Multidisciplinary</t>
  </si>
  <si>
    <t>Environmental Sciences &amp; Ecology; Geology</t>
  </si>
  <si>
    <t>729HC</t>
  </si>
  <si>
    <t>WOS:000185766800003</t>
  </si>
  <si>
    <t>Llanos, MPI; Lanza, R; Riccardi, AC; Geuna, S; Laurenzi, MA; Ruffini, R</t>
  </si>
  <si>
    <t>Palaeomagnetic study of the El Quemado complex and Marifil formation, Patagonian Jurassic igneous province, Argentina</t>
  </si>
  <si>
    <t>GEOPHYSICAL JOURNAL INTERNATIONAL</t>
  </si>
  <si>
    <t>Jurassic; palaeomagnetism; Patagonia; volcanic structure</t>
  </si>
  <si>
    <t>CHON-AIKE FORMATION; ANTARCTIC PENINSULA; CRETACEOUS ROCKS; GRAIN-SIZE; SANTA-CRUZ; BREAK-UP; SOUTH; MIDDLE; ROTATIONS; CHILE</t>
  </si>
  <si>
    <t>The upper Jurassic El Quemado Complex was sampled at 36 sites from five localities in the cordilleran foothills of southern Patagonia between Lago Argentino and Lago Posadas-Sierra Colorada, and the middle Jurassic Marifil Formation at 12 sites in the Somuncur' a Massif near Camarones. The main lithology was ignimbrite, with minor tuff and lava. Petrographical and SEM observation show that the El Quemado rocks suffered an intense, high-temperature alteration which resulted in transformation of most primary Ti-magnetite in pseudobrookite, rutile and minor Ti-haematite and Fe hydrated oxides. A similar, less pronounced alteration occurred in the Marifil rocks. 40Ar/39Ar dating of El Quemado was possible for one sample from Sierra Colorada and yielded an age of 156.5 +/- 1.9 Ma. Magnetic mineralogy measurements (isothermal remanence, hysteresis loop, Curie balance) show that the remanent magnetization is dominated by PSD low-Ti magnetite, often associated to a minor high-coercive mineral (haematite). Secondary magnetization components are usually absent or weak at El Quemado sites, strong at Marifil. They were completely erased by thermal and AF demagnetization and a characteristic remanence (ChRM) stable up to temperatures higher than 550 degreesC or peak-field values of 100 mT was successfully isolated. The virtual geomagnetic pole (VGP) from the Marifil Formation (83 degreesS, 138 degreesE) is in agreement with the literature data for Jurassic rocks from stable South America. The El Quemado VGPs fall in two groups. The localities to the north of latitude 48 degreesS (Lago Posadas, Sierra Colorada) yield a VGP (81 degreesS, 172 degreesE) close to that of Marifil, whereas those south of latitude 49 S (Lago San Martin, Lago Argentino) show a highly elongated VGP distribution consistent with counter-clockwise block-rotation about vertical axes. These rotations were likely caused by thrust sheets which were rotating counter-clockwise at the same time they were advancing towards the foreland. The amount of rotation varies according to the location of the sampling sites in the thrust and fold belt. The upper Jurassic El Quemado Complex was sampled at 36 sites from five localities in the cordilleran foothills of southern Patagonia between Lago Argentino and Lago Posadas-Sierra Colorada, and the middle Jurassic Marifil Formation at 12 sites in the Somuncur' a Massif near Camarones. The main lithology was ignimbrite, with minor tuff and lava. Petrographical and SEM observation show that the El Quemado rocks suffered an intense, high-temperature alteration which resulted in transformation of most primary Ti-magnetite in pseudobrookite, rutile and minor Ti-haematite and Fe hydrated oxides. A similar, less pronounced alteration occurred in the Marifil rocks. 40Ar/39Ar dating of El Quemado was possible for one sample from Sierra Colorada and yielded an age of 156.5 +/- 1.9 Ma. Magnetic mineralogy measurements (isothermal remanence, hysteresis loop, Curie balance) show that the remanent magnetization is dominated by PSD low-Ti magnetite, often associated to a minor high-coercive mineral (haematite). Secondary magnetization components are usually absent or weak at El Quemado sites, strong at Marifil. They were completely erased by thermal and AF demagnetization and a characteristic remanence (ChRM) stable up to temperatures higher than 550 degreesC or peak-field values of 100 mT was successfully isolated. The virtual geomagnetic pole (VGP) from the Marifil Formation (83 degreesS, 138 degreesE) is in agreement with the literature data for Jurassic rocks from stable South America. The El Quemado VGPs fall in two groups. The localities to the north of latitude 48 degreesS (Lago Posadas, Sierra Colorada) yield a VGP (81 degreesS, 172 degreesE) close to that of Marifil, whereas those south of latitude 49 S (Lago San Martin, Lago Argentino) show a highly elongated VGP distribution consistent with counter-clockwise block-rotation about vertical axes. These rotations were likely caused by thrust sheets which were rotating counter-clockwise at the same time they were advancing towards the foreland. The amount of rotation varies according to the location of the sampling sites in the thrust and fold belt.</t>
  </si>
  <si>
    <t>Univ Buenos Aires, Dept Ciencias Geol, Lab Paleomagnetismo Daniel Valencio, RA-1428 Buenos Aires, DF, Argentina; Univ Turin, Dipartimento Sci Terra, I-10125 Turin, Italy; Museo La Plata, Dept Paleozool Invertebrados, RA-1900 La Plata, Argentina; CNR, Area Ric Pisa, Ist Geosci &amp; Georisorse, I-56124 Pisa, Italy; Univ Turin, Dipartimento Sci Mineral &amp; Petrol, I-10125 Turin, Italy</t>
  </si>
  <si>
    <t>University of Buenos Aires; University of Turin; National University of La Plata; Museo La Plata; Consiglio Nazionale delle Ricerche (CNR); Istituto di Geoscienze e Georisorse (IGG-CNR); University of Turin</t>
  </si>
  <si>
    <t>Univ Munich, Inst Allg &amp; Angew Geophys, Theresienstr 41, D-80333 Munich, Germany.</t>
  </si>
  <si>
    <t>paula@geophysik.uni-muenchen.de</t>
  </si>
  <si>
    <t>Geuna, Silvana/AAN-6326-2021</t>
  </si>
  <si>
    <t>LAURENZI, MARINELLAADA/0000-0003-1426-9476</t>
  </si>
  <si>
    <t>0956-540X</t>
  </si>
  <si>
    <t>1365-246X</t>
  </si>
  <si>
    <t>GEOPHYS J INT</t>
  </si>
  <si>
    <t>Geophys. J. Int.</t>
  </si>
  <si>
    <t>717TB</t>
  </si>
  <si>
    <t>WOS:000185105500002</t>
  </si>
  <si>
    <t>Reid, JE; Worby, AR; Vrbancich, J; Munro, AIS</t>
  </si>
  <si>
    <t>Shipborne electromagnetic measurements of Antarctic sea-ice thickness</t>
  </si>
  <si>
    <t>GEOPHYSICS</t>
  </si>
  <si>
    <t>SUMMER; SYSTEM; WINTER</t>
  </si>
  <si>
    <t>We present a study of Antarctic sea-ice thickness estimates made using a shipborne Geonics EM31 electromagnetic (EM) instrument, based on both ID and 3D models. Apparent conductivities measured in the vertical coplanar (VCP) geometry are shown to be the measured quantity most sensitive to changes in the height of the instrument above seawater. An analysis of the effect of instrument orientation on the measured VCP apparent conductivity shows that the effects of pitch and roll on the calculated sea-ice thickness can be neglected except in the case of very thin sea ice. Because only a single (quadrature) component of the magnetic field is measured at a single frequency, interpretation of shipborne EM31 data must necessarily be based on very simple models. For a typical sea-ice bulk conductivity of similar to60 mS/m, a uniform half-space model representing conductive seawater is appropriate for interpretation of VCP EM31 measurements over level sea ice up to similar to2.5 m thick. For thicker, more conductive sea ice, the interpretation model must account for the effect of the finite sea-ice conductivity. Simultaneous acquisition of EM data at several frequencies and/or transmitter-receiver geometries permits interpretation of the data in terms of multilayered models. A synthetic example shows that 1D inversion of single-frequency in-phase and quadrature data from two transmitter-receiver geometries can yield reliable estimates of sea-ice thickness even when the ice contains thin, highly conductive brine layers. Our 3D numerical model calculations show that smoothing the measured response over the system footprint means that the sea-ice thickness recovered over multidimensional sea-ice structures via half-space inversion of apparent conductivity data yields a highly smoothed image of the actual keel relief. The dependence of footprint size on the height of the system above seawater results in the interpreted sea-ice thicknesses being dependent on the deployment height of the instrument. Sea-ice thickness data acquired using an EM31 equipped with a hardware processing module can be transformed to apparent conductivity and then inverted assuming a conductive half-space model. For EM system heights &gt;4.5 m above seawater, corresponding to large altitude and/or thick sea ice, inversion assuming a conductive half-space model yields an improved estimate of the true sea-ice thickness compared to that obtained using the processing module. However, the noise level in the estimated depth to seawater is relatively large (+/- 0.1 m) in comparison with typical Antarctic sea-ice thicknesses, and thickness estimates made using the ship-borne system may be significantly in error over thin ice.</t>
  </si>
  <si>
    <t>Univ Tasmania, Sch Earth Sci, Hobart, Tas 7001, Australia; Antarctic Cooperat Res Ctr, Hobart, Tas 7001, Australia; Australian Antarctic Div, Hobart, Tas 7001, Australia; Def Sci &amp; Technol Org, Maritime Operat Div, Pyrmont, NSW 2009, Australia; Univ Tasmania, Sch Math &amp; Phys, Hobart, Tas 7001, Australia</t>
  </si>
  <si>
    <t>University of Tasmania; Australian Antarctic Division; Defence Science &amp; Technology; University of Tasmania</t>
  </si>
  <si>
    <t>Reid, JE (corresponding author), Univ Tasmania, Sch Earth Sci, GPO Box 252-79, Hobart, Tas 7001, Australia.</t>
  </si>
  <si>
    <t>james.reid@utas.edu.au; a.worby@utas.edu.au; julian.vrbancich@dsto.defence.gov.au; munroa@postoffice.utas.edu.au</t>
  </si>
  <si>
    <t>SOC EXPLORATION GEOPHYSICISTS</t>
  </si>
  <si>
    <t>TULSA</t>
  </si>
  <si>
    <t>8801 S YALE ST, TULSA, OK 74137 USA</t>
  </si>
  <si>
    <t>0016-8033</t>
  </si>
  <si>
    <t>1942-2156</t>
  </si>
  <si>
    <t>Geophysics</t>
  </si>
  <si>
    <t>10.1190/1.1620627</t>
  </si>
  <si>
    <t>812JS</t>
  </si>
  <si>
    <t>WOS:000220836400010</t>
  </si>
  <si>
    <t>Raes, M; Vanreusel, A; Decraemer, W</t>
  </si>
  <si>
    <t>Epsilonematidae (Nematoda) from a cold-water coral environment in the Porcupine Seabight, with a discussion on the status of the genus Metaglochinema Gourbault &amp; Decraemer, 1986</t>
  </si>
  <si>
    <t>HYDROBIOLOGIA</t>
  </si>
  <si>
    <t>epsilonematidae; glochinematinae; cold-water corals</t>
  </si>
  <si>
    <t>GLOCHINEMA</t>
  </si>
  <si>
    <t>Thirteen species of nematodes from the family Epsilonematidae Steiner, 1927 were found to be associated with a cold-water coral reef in the Porcupine Seabight. Among them, four species were already known from various locations such as Chile and Papua New Guinea. Three new species are described here: Glochinema trispinatum sp. n. is recognized by three dorsal thorns in the pharyngeal region. This species was also recovered from the Antarctic shelf. Epsilonema multispiralum sp. n. is characterised by a multispiral amphid consisting of 3.25 coils. Bathyepsilonema lopheliae sp. n. is characterised by its body length, the position and relative width of the amphids and the nature of the cuticular ornamentation. Within the subfamily Glochinematinae Lorenzen, 1974, the number and arrangement of ambulatory setae is considered not to be of diagnostic importance. The former species Metaglochinema strigosum Gourbault &amp; Decraemer, 1993 is therefore classified under the genus Glochinema Lorenzen, 1974. The original genus diagnosis of Metaglochinema, now a monotypic genus, is adjusted. The geographic distribution of epsilonematid nematodes is briefly discussed.</t>
  </si>
  <si>
    <t>State Univ Ghent, Marine Biol Sect, B-9000 Ghent, Belgium; Koninklijk Belgisch Inst Natuurwetenschappen, Sect Recent Invertebrates, B-1000 Brussels, Belgium</t>
  </si>
  <si>
    <t>Ghent University</t>
  </si>
  <si>
    <t>Raes, M (corresponding author), State Univ Ghent, Marine Biol Sect, Bldg S8,Krijgslaan 281, B-9000 Ghent, Belgium.</t>
  </si>
  <si>
    <t>Decraemer, Wilfrida/AAD-2639-2020</t>
  </si>
  <si>
    <t>KLUWER ACADEMIC PUBL</t>
  </si>
  <si>
    <t>0018-8158</t>
  </si>
  <si>
    <t>Hydrobiologia</t>
  </si>
  <si>
    <t>1-3</t>
  </si>
  <si>
    <t>10.1023/B:HYDR.0000007245.66840.0a</t>
  </si>
  <si>
    <t>751ME</t>
  </si>
  <si>
    <t>WOS:000187070200005</t>
  </si>
  <si>
    <t>Van Trappen, S; Mergaert, J; Swings, J</t>
  </si>
  <si>
    <t>Flavobacterium gelidilacus sp nov., isolated from microbial mats in Antarctic lakes</t>
  </si>
  <si>
    <t>INTERNATIONAL JOURNAL OF SYSTEMATIC AND EVOLUTIONARY MICROBIOLOGY</t>
  </si>
  <si>
    <t>FAMILY FLAVOBACTERIACEAE; DEOXYRIBONUCLEIC-ACID; EMENDED DESCRIPTION; DNA; BACTERIA; SEQUENCES</t>
  </si>
  <si>
    <t>Twenty-two isolates from microbial mats in eastern Antarctic lakes showed similar fatty acid compositions and were investigated further using a polyphasic taxonomic approach. Repetitive extragenic palindromic DNA-PCR fingerprinting of the 22 strains revealed three groups, and DNA-DNA hybridizations between representatives showed more than 87 % DNA-DNA reassociation with each other. 16S rRNA gene sequence analysis placed two representative strains, LMG 21477(T) and LMG 21619, within the genus Flavobacterium, with 95.1 % sequence similarity to Flavobacterium flevense, 95.0 % to Flavobacterium tegetincola, less than 95 % to other Flavobacterium species and less than 90 % to representatives of other genera. The name Flavobacterium gelidilacus sp. nov. is proposed, with LMG 21477(T) (=DSM 15343(T)) as the type strain, and a description of the species is given on the basis of morphological, biochemical and physiological characteristics and fatty acid composition. The G + C content of the genomic DNA is 30.0-30.4 mol %.</t>
  </si>
  <si>
    <t>State Univ Ghent, Microbiol Lab, Vakgrp Biochem Fysiol &amp; Microbiol, B-9000 Ghent, Belgium</t>
  </si>
  <si>
    <t>Van Trappen, S (corresponding author), State Univ Ghent, Microbiol Lab, Vakgrp Biochem Fysiol &amp; Microbiol, KL Ledeganckstr 35, B-9000 Ghent, Belgium.</t>
  </si>
  <si>
    <t>Van Trappen, Stefanie/0000-0002-7431-4606</t>
  </si>
  <si>
    <t>SOC GENERAL MICROBIOLOGY</t>
  </si>
  <si>
    <t>MARLBOROUGH HOUSE, BASINGSTOKE RD, SPENCERS WOODS, READING RG7 1AG, BERKS, ENGLAND</t>
  </si>
  <si>
    <t>1466-5026</t>
  </si>
  <si>
    <t>INT J SYST EVOL MICR</t>
  </si>
  <si>
    <t>Int. J. Syst. Evol. Microbiol.</t>
  </si>
  <si>
    <t>10.1099/ijs.0.02583-0</t>
  </si>
  <si>
    <t>Microbiology</t>
  </si>
  <si>
    <t>725PG</t>
  </si>
  <si>
    <t>WOS:000185551100003</t>
  </si>
  <si>
    <t>Busse, HJ; Denner, EBM; Buczolits, S; Salkinoja-Salonen, M; Bennasar, A; Kämpfer, P</t>
  </si>
  <si>
    <t>Sphingomonas aurantiaca sp nov., Sphingomonas aerolata sp nov and Sphingomonas faeni sp nov., air- and dustborne and Antarctic, orange-pigmented, psychrotolerant bacteria, and emended description of the genus Sphingomonas</t>
  </si>
  <si>
    <t>IDENTIFICATION; CLASSIFICATION; PROPOSAL; PAUCIMOBILIS; MEMBERS; GENERA; SOIL</t>
  </si>
  <si>
    <t>Seven psychrotolerant, Gram-negative bacterial strains, five dust- and airborne isolates (MA101b(T), MA306a, MA405/90, MA-olki(T) and NW12(T)) and two from the Antarctic (Ant 20 and M3C203B-B), were subjected to a polyphasic characterization to determine their taxonomic position. High 16S rDNA sequences similarities (99.3-100.0%) demonstrated that they were closely related to each other. Phylogenetic evaluation of their 16S rDNA sequences revealed that they are members of the genus Sphingomonas sensu stricto, encompassing a separate branch within this genus. They shared 94.4-96.6% 16S rDNA sequence similarity with species of this genus. All Sphingomonas-specific signature nucleoticles were also detected. The presence of the major ubiquinone Q-10, sym-homospermidine as the predominant polyamine, Sphingomonadaceae-specific sphingoglycolipid in the polar lipid patterns and a fatty acid profile containing C-14:0 2-OH and lacking 3-OH fatty acids were in agreement with identification of these strains as members of the genus Sphingomonas sensu stricto. Results from DNA-DNA hybridizations and comparison of protein patterns indicated that the seven strains are members of three distinct species. One species is represented by strains MA101b(T), MA306a and MA405/90, the second by strains NW12(T), Ant 20 and M3C203B-B and the third by one strain, MA-olki(T). Their distinction at the species level was also supported by results of biochemical characterization and partly supported by riboprints and genomic fingerprints. On the basis of these results, three novel species of the genus Sphingomonas are proposed: Sphingomonas aurantiaca sp. nov., consisting of strains MA101b(T) (= DSM 14748(T)= LMG 21377(T)), MA306a. and MA405/90 (= DSM 14749 = LMG 21378), Sphingomonas faeni sp. nov. MA-olki(T) (=DSM 14747(T) = LMG 213 79(T)) and Sphingomonas aerolata sp. nov., represented by strains NW12(T) (=DSM 14746(T) =LMG 21376(T)), Ant 20 (= ICMP 13599) and M3C203B-B (= SMCC M3C203B-B).</t>
  </si>
  <si>
    <t>Vet Univ Vienna, Inst Bakteriol Mykol &amp; Hyg, A-1210 Vienna, Austria; Univ Vienna, Inst Genet &amp; Mikrobiol, A-1030 Vienna, Austria; Univ Helsinki, Dept Appl Chem &amp; Microbiol, FIN-00014 Helsinki, Finland; GridSyst, Area Biotecnol, E-07120 Palma de Mallorca, Spain; Univ Giessen, Inst Angew Mikrobiol, D-35392 Giessen, Germany</t>
  </si>
  <si>
    <t>University of Veterinary Medicine Vienna; University of Vienna; University of Helsinki; Justus Liebig University Giessen</t>
  </si>
  <si>
    <t>Vet Univ Vienna, Inst Bakteriol Mykol &amp; Hyg, A-1210 Vienna, Austria.</t>
  </si>
  <si>
    <t>hans-juergen.busse@vu-wien.ac.at</t>
  </si>
  <si>
    <t>Kampfer, Peter/P-7643-2019; Bennasar-Figueras, Toni/I-4469-2015</t>
  </si>
  <si>
    <t>Kampfer, Peter/0000-0002-7165-3418; Bennasar-Figueras, Toni/0000-0002-2221-3248; Denner, Ewald B. M./0000-0002-0168-6716</t>
  </si>
  <si>
    <t>MICROBIOLOGY SOC</t>
  </si>
  <si>
    <t>CHARLES DARWIN HOUSE, 12 ROGER ST, LONDON WC1N 2JU, ERKS, ENGLAND</t>
  </si>
  <si>
    <t>1466-5034</t>
  </si>
  <si>
    <t>10.1099/ijs.0.02461-0</t>
  </si>
  <si>
    <t>WOS:000185551100005</t>
  </si>
  <si>
    <t>Bowman, JP; Mancuso, C; Nichols, CM; Gibson, JAE</t>
  </si>
  <si>
    <t>Algoriphagus ratkowskyi gen. nov., sp nov., Brumimicrobium glaciale gen. nov., sp nov., Cryomorpha ignava gen. nov., sp nov and Crocinitomix catalasitica gen. nov., sp nov., novel flavobacteria isolated from various polar habitats</t>
  </si>
  <si>
    <t>ANTARCTIC SEA-ICE; CYTOPHAGA-ULIGINOSA ZOBELL; 1944 REICHENBACH 1989; COMB. NOV; FAMILY FLAVOBACTERIACEAE; PSYCHROPHILIC BACTERIA; DEOXYRIBONUCLEIC ACID; PHYLOGENETIC ANALYSIS; EMENDED DESCRIPTION; BASE COMPOSITION</t>
  </si>
  <si>
    <t>Several cold-adapted strains isolated from a variety of algal-rich Antarctic and Southern Ocean samples formed three distinct groups within the class Flavobacteria, phylogenetically distant from other cultivated species. The first taxon, designated Algoriphagus ratkowskyi gen. nov., sp. nov., was isolated from sea ice and from saline lake cyanobacterial mats and includes non-motile, strictly aerobic, saccharolytic rod-like or serpentine strains that were most closely related to the genus Cyclobacterium according to 16S rDNA sequence analysis (sequence similarity 0.85). The second taxon, designated Brumimicrobium glaciale gen. nov., sp. nov., isolated from sea ice and from continental shelf sediment, formed gliding, rod-like cells that were facultatively anaerobic with a fermentative metabolism. The third taxon, designated Cryomorpha ignava gen. nov., sp. nov., isolated from Southern Ocean particulates and from quartz stone subliths, included strictly aerobic, pleomorphic rod-like cells. Brumimicrobium glaciale and Cryomorpha ignava were most closely allied with 'Microscilla aggregans var. catalatica', which, on the basis of its distinctive taxonomic traits, is also proposed as a new genus and species, Crocinitomix catalasitica gen. nov., sp. nov. It is proposed that the three genera Brumimicrobium, Cryomorpha and Crocinitomix belong to a new family, Cryomorphaceae fam. nov. (type genus Cryomorpha), as they possess generally similar morphological and ecophysiological characteristics and form a common and distinct clade within class Flavobacteria.</t>
  </si>
  <si>
    <t>Univ Tasmania, Sch Agr Sci, Hobart, Tas 7001, Australia; CSIRO, Marine Res, Hobart, Tas 7001, Australia</t>
  </si>
  <si>
    <t>University of Tasmania; Commonwealth Scientific &amp; Industrial Research Organisation (CSIRO)</t>
  </si>
  <si>
    <t>Bowman, JP (corresponding author), Univ Tasmania, Sch Agr Sci, Hobart, Tas 7001, Australia.</t>
  </si>
  <si>
    <t>Bowman, John P./ABF-5108-2020; Shintani, Masaki/A-3219-2012; Nichols, Carol/C-2290-2008; Bowman, John P/C-2414-2014</t>
  </si>
  <si>
    <t>Bowman, John P./0000-0002-4528-9333; Nichols, Carol/0000-0002-2739-4690; Bowman, John P/0000-0002-4528-9333</t>
  </si>
  <si>
    <t>10.1099/ijs.0.02553-0</t>
  </si>
  <si>
    <t>WOS:000185551100019</t>
  </si>
  <si>
    <t>Kang, DH; Ahn, IY; Choi, KS</t>
  </si>
  <si>
    <t>Quantitative assessment of reproductive condition of the Antarctic clam, Laternula elliptica (King &amp; Broderip), using image analysis</t>
  </si>
  <si>
    <t>INVERTEBRATE REPRODUCTION &amp; DEVELOPMENT</t>
  </si>
  <si>
    <t>Antarctic bivalve; Laternula elliptica; size; egg diameter; maturity index; King George Island; spawning</t>
  </si>
  <si>
    <t>CRASSOSTREA-GIGAS THUNBERG; GEORGE-ISLAND; PACIFIC OYSTER; SIZE; BAY; ANOMALODESMATA; BIVALVIA; OUTPUT; SOUND; CYCLE</t>
  </si>
  <si>
    <t>We quantitatively assessed the reproductive state of the Antarctic clam, L. elliptica, collected from a small cove on King George Island in the spawning season. Using computer-based image analysis, percentage gonad area (PGA), percentage egg area within a follicle (FI), and mean oocyte diameter (MOD) were determined from gonadal cross-sections prepared for histological studies. These indices were then compared on the basis of scores from 1 to 6 on a conventional maturity index (MI), which is scored using subjective criteria determined by microscopic examination. Clams collected during two different spawning periods were analyzed. The FI and MOD values differed significantly between the two groups, but MI and PGA values did not, suggesting that FI and MOD are the more reliable and sensitive indicators for differentiating reproductive condition. This study also showed that a planimetric technique using computer-based image analysis is fast, convenient to use, and better than the conventional MI at providing reliable quantitative information about L. elliptica reproduction. We also investigated whether these indices varied with body size. The FI and MOD values peaked in clams of 76 to 85 mm shell length, indicating that clams of this size have the highest reproductive output at spawning time. Therefore, animals of a standard size (76 to 85 mm) should be monitored seasonally or over a longer term.</t>
  </si>
  <si>
    <t>Cheju Natl Univ, Coll Ocean Sci, Sch Appl Marine Sci, Jeju 690756, South Korea; Korea Ocean Res &amp; Dev Inst, Polar Sci Lab, Seoul 425600, South Korea</t>
  </si>
  <si>
    <t>Jeju National University; Korea Institute of Ocean Science &amp; Technology (KIOST)</t>
  </si>
  <si>
    <t>Choi, KS (corresponding author), Cheju Natl Univ, Coll Ocean Sci, Sch Appl Marine Sci, 1 Ara 1 Dong Jeju, Jeju 690756, South Korea.</t>
  </si>
  <si>
    <t>Choi, Kwang-Sik Albert/B-5367-2011</t>
  </si>
  <si>
    <t>INT SCIENCE SERVICES/BALABAN PUBLISHERS</t>
  </si>
  <si>
    <t>REHOVOT</t>
  </si>
  <si>
    <t>PO BOX 2039, REHOVOT 76120, ISRAEL</t>
  </si>
  <si>
    <t>0168-8170</t>
  </si>
  <si>
    <t>INVERTEBR REPROD DEV</t>
  </si>
  <si>
    <t>Invertebr. Reprod. Dev.</t>
  </si>
  <si>
    <t>10.1080/07924259.2003.9652555</t>
  </si>
  <si>
    <t>Reproductive Biology; Zoology</t>
  </si>
  <si>
    <t>727BM</t>
  </si>
  <si>
    <t>WOS:000185636200008</t>
  </si>
  <si>
    <t>Velando, A; Alonso-Alvarez, C</t>
  </si>
  <si>
    <t>Differential body condition regulation by males and females in response to experimental manipulations of brood size and parental effort in the blue-footed booby</t>
  </si>
  <si>
    <t>JOURNAL OF ANIMAL ECOLOGY</t>
  </si>
  <si>
    <t>body mass threshold; brood size manipulation; handicapped males; sex-related breeding effort; Sula nebouxii</t>
  </si>
  <si>
    <t>LONG-LIVED SEABIRD; CLUTCH SIZE; ANTARCTIC PETREL; EL-NINO; REPRODUCTIVE SUCCESS; PARTNER CONTRIBUTION; FRATERCULA-ARCTICA; PELAGIC SEABIRD; HATCHING DATE; COSTS</t>
  </si>
  <si>
    <t>1. In long-lived species, such as seabirds, the allocation of resources between self-maintenance and reproduction is of particular interest because only a small reduction in adult survival may have a large negative effect on lifetime reproductive success. There is much debate about whether seabirds have a fixed or flexible level of investment in their current reproduction, and it has been proposed that parents can regulate the risk of an increase in mortality under the control of a mass threshold. 2. Body mass change as response to experimental manipulations of parental effort was examined in blue-footed boobies (Sula nebouxii Mine-Edwards), a sexually size-dimorphic seabird, with females approximately 31% heavier than males. 3. First, paternal effort was manipulated by trimming the flight feathers and thereby handicapping males during the chick-rearing period. Mass remained stable in handicapped males, while there was a reduction of female body mass as response to the handicapped partner. The handicapping of males had a significant effect on chick mass. 4. Secondly, an experiment was made by enlarging and decreasing broods of two chicks to three and one during the first week after hatching. Body mass of females, but not males, was lower in enlarged broods, and body mass of males, but not females, was higher in the reduced broods when the chicks were 45 days old. Chick body masses were lower among enlarged broods than among reduced and control broods. 5. Overall, these and other results revealed that blue-footed boobies have a sex-specific body mass regulation. Males had a fixed body mass at the end of experiments; they were working at some physiological maximum or were unwilling to pay the cost in terms of future survival, when the effort demanded was increased. Females performed a flexible effort and were working with a buffer of nutritional reserves that they used when necessary. Below a critical level, females preferentially allocated resources to the maintenance of their body condition at the expense of investment in current reproduction.</t>
  </si>
  <si>
    <t>Univ Vigo, Fac Ciencias, Dept Ecol &amp; Biol Anim, Vigo 36200, Spain; Univ Paris 06, Lab Parasitol Evolut, Paris, France</t>
  </si>
  <si>
    <t>Universidade de Vigo; Sorbonne Universite</t>
  </si>
  <si>
    <t>Univ Vigo, Fac Ciencias, Dept Ecol &amp; Biol Anim, Campus Lagoas Marcosende, Vigo 36200, Spain.</t>
  </si>
  <si>
    <t>avelando@uvigo.es</t>
  </si>
  <si>
    <t>Alonso-Alvarez, Carlos/M-6804-2014; Velando, Alberto/B-1701-2009</t>
  </si>
  <si>
    <t>Alonso-Alvarez, Carlos/0000-0002-4765-551X; Velando, Alberto/0000-0001-8909-0724</t>
  </si>
  <si>
    <t>0021-8790</t>
  </si>
  <si>
    <t>1365-2656</t>
  </si>
  <si>
    <t>J ANIM ECOL</t>
  </si>
  <si>
    <t>J. Anim. Ecol.</t>
  </si>
  <si>
    <t>10.1046/j.1365-2656.2003.00756.x</t>
  </si>
  <si>
    <t>Ecology; Zoology</t>
  </si>
  <si>
    <t>Environmental Sciences &amp; Ecology; Zoology</t>
  </si>
  <si>
    <t>717AR</t>
  </si>
  <si>
    <t>WOS:000185063900015</t>
  </si>
  <si>
    <t>Bose, S; Pal, S; Fukuoka, M</t>
  </si>
  <si>
    <t>Pressure-temperature-fluid evolutionary history of orthopyroxene-bearing quartzofeldspathic and mafic granulites from northern parts of the Eastern Ghats Belt, India: implications for Indo-Antarctic correlation</t>
  </si>
  <si>
    <t>JOURNAL OF ASIAN EARTH SCIENCES</t>
  </si>
  <si>
    <t>31st International Geological Congress</t>
  </si>
  <si>
    <t>AUG 16-18, 2000</t>
  </si>
  <si>
    <t>RIO DE JANEIRO, BRAZIL</t>
  </si>
  <si>
    <t>orthogneisses; thermobarometry; fluid activity; K-metasomatism; Eastern Ghats Belt</t>
  </si>
  <si>
    <t>SAPPHIRINE GRANULITES; EXCHANGE EQUILIBRIA; SPINEL GRANULITES; REACTION TEXTURES; PHASE-RELATIONS; GARNET; MG; SYSTEM; QUARTZ; FE</t>
  </si>
  <si>
    <t>Mafic and felsic orthogneisses form an integral component of the rock association of the Eastern Gnats Belt (EGB). Such rocks show similar P-T-fluid evolutionary history at two different localities of the EGB from where UHT metamorphism has already been recorded. Both mafic and felsic orthogneisses show contrasting petrological characters and are classified according to structural and mineralogical characteristics. All the varieties of mafic granulite and the gneissic enderbite preserve the strong regional foliation (S(2)/S(3)). The pegmatoidal enderbite is post deformational and hybrid in nature containing xenocrysts derived from associated rocks. Textural and thermobarometric data reveal different stages of metamorphism. Peak metamorphism (M(1)) occurs at 8-9 kbar pressure and temperature in excess of 950 degreesC. Emplacement of mafic magma could be the principal cause of this metamorphism. This was followed by retrograde R, stage when the rocks suffered a near isobaric cooling up to 700-750 degreesC at 7-7.5 kbar. At the terminal retrograde stage (R(2)) fluid-rock interaction took place at 6-6.5 kbar, 600-650 degreesC. The fluid composition is calculated to be poor in H(2)O and CO(2). Textural data predict that K-rich brine could be responsible for such composition. The observed P-T-fluid characteristics show similarity with other terranes belonging to erstwhile Gondwanaland. (C) 2003 Published by Elsevier Ltd.</t>
  </si>
  <si>
    <t>Durgapur Govt Coll, Dept Geol, Durgapur 713214, India; Hiroshima Univ, Dept Earth &amp; Planetary Sci, Hiroshima, Japan</t>
  </si>
  <si>
    <t>Hiroshima University</t>
  </si>
  <si>
    <t>Bose, S (corresponding author), Durgapur Govt Coll, Dept Geol, Durgapur 713214, India.</t>
  </si>
  <si>
    <t>bose_sankar@rediffmail.com</t>
  </si>
  <si>
    <t>Bose, Sankar/AAM-5992-2020</t>
  </si>
  <si>
    <t>Bose, Sankar/0000-0002-6234-236X</t>
  </si>
  <si>
    <t>1367-9120</t>
  </si>
  <si>
    <t>J ASIAN EARTH SCI</t>
  </si>
  <si>
    <t>J. Asian Earth Sci.</t>
  </si>
  <si>
    <t>10.1016/S1367-9120(02)00186-4</t>
  </si>
  <si>
    <t>725BL</t>
  </si>
  <si>
    <t>WOS:000185522700002</t>
  </si>
  <si>
    <t>Coker, JA; Sheridan, PP; Loveland-Curtze, J; Gutshall, KR; Auman, AJ; Brenchley, JE</t>
  </si>
  <si>
    <t>Biochemical characterization of a β-galactosidase with a low temperature optimum obtained from an Antarctic Arthrobacter isolate</t>
  </si>
  <si>
    <t>JOURNAL OF BACTERIOLOGY</t>
  </si>
  <si>
    <t>RIBOSOMAL DATABASE PROJECT; ACID-SEQUENCE SIMILARITIES; ESCHERICHIA-COLI; GLYCOSYL HYDROLASES; STRUCTURAL BASIS; ALPHA-COMPLEMENTATION; PHYLOGENETIC ANALYSES; CLASSIFICATION; PURIFICATION; GENE</t>
  </si>
  <si>
    <t>A psychrophilic gram-positive isolate was obtained from Antarctic Dry Valley soil. It utilized lactose, had a rod-coccus cycle, and contained lysine as the diamino acid in its cell wall. Consistent with these physiological traits, the 16S ribosomal DNA sequence showed that it was phylogenetically related to other Arthrobacter species. A gene (bgaS) encoding a family 2 beta-galactosidase was cloned from this organism into an Escherichia coli host. Preliminary results showed that the enzyme was cold active (optimal activity at 18degreesC and 50% activity remaining at 0degreesC) and heat labile (inactivated within 10 min at 37degreesC). To enable rapid purification, vectors were constructed adding histidine residues to the BgaS enzyme and its E. coli LacZ counterpart, which was purified for comparison. The His tag additions reduced the specific activities of both beta-galactosidases but did not alter the other characteristics of the enzymes. Kinetic studies using o-nitrophenyi-beta-D-galactopyranoside showed that BgaS with and without a His tag had greater catalytic activity at and below 20degreesC than the comparable LacZ beta-galactosidases. The BgaS heat lability was investigated by ultracentrifugation, where the active enzyme was a homotetramer at 4degreesC but dissociated into inactive monomers at 25degreesC. Comparisons of family 2 beta-galactosidase amino acid compositions and modeling studies with the LacZ structure did not mimic suggested trends for conferring enzyme flexibility at low temperatures, consistent with the changes affecting thermal adaptation being localized and subtle. Mutation studies of the BgaS enzyme should aid our understanding of such specific, localized changes affecting enzyme thermal properties.</t>
  </si>
  <si>
    <t>Penn State Univ, Dept Biochem &amp; Mol Biol, University Pk, PA 16802 USA</t>
  </si>
  <si>
    <t>Pennsylvania Commonwealth System of Higher Education (PCSHE); Pennsylvania State University; Pennsylvania State University - University Park</t>
  </si>
  <si>
    <t>Penn State Univ, Dept Biochem &amp; Mol Biol, 211 S Frear, University Pk, PA 16802 USA.</t>
  </si>
  <si>
    <t>jac420@psu.edu</t>
  </si>
  <si>
    <t>Coker, James/0000-0002-1935-5413</t>
  </si>
  <si>
    <t>0021-9193</t>
  </si>
  <si>
    <t>1098-5530</t>
  </si>
  <si>
    <t>J BACTERIOL</t>
  </si>
  <si>
    <t>J. Bacteriol.</t>
  </si>
  <si>
    <t>10.1128/JB.185.18.5473-5482.2003</t>
  </si>
  <si>
    <t>719AR</t>
  </si>
  <si>
    <t>WOS:000185181500016</t>
  </si>
  <si>
    <t>Storch, D; Heilmayer, O; Hardewig, I; Pörtner, HO</t>
  </si>
  <si>
    <t>In vitro protein synthesis capacities in a cold stenothermal and a temperate eurythermal pectinid</t>
  </si>
  <si>
    <t>JOURNAL OF COMPARATIVE PHYSIOLOGY B-BIOCHEMICAL SYSTEMIC AND ENVIRONMENTAL PHYSIOLOGY</t>
  </si>
  <si>
    <t>protein synthesis; translational capacity; translational efficiency; cold adaptation; pectinids</t>
  </si>
  <si>
    <t>RAINBOW-TROUT; ADAPTATION; TURNOVER; MUSCLE; RATES; TRANSLATION; DEGRADATION; ECTOTHERMS; METABOLISM; DYNAMICS</t>
  </si>
  <si>
    <t>The translational system was isolated from the gills of the Antarctic scallop Adamussium colbecki (Smith) and the European scallop Aequipecten opercularis (Linnaeus) for in vitro protein synthesis capacities (mug protein mg FW-1 day(-1)) and the translational capacities of RNA (k(RNA in vitro) mg protein mg RNA(-1) day(-1)). In vitro protein synthesis capacity in the cold-adapted pectinid at 0 degreesC was similar to the one found in the temperate scallop at 25 degreesC. These findings might reflect cold compensated rates in Adamussium colbecki, partly explainable by high tissue levels of RNA. Cold-compensated in vitro protein synthesis capacities may further result from increments in the translational capacity of RNA. The thermal sensitivity of the translation machinery was slightly different in the two species, with significantly lower levels of Arrhenius activation energies E-a and Q(10) in Adamussium colbecki in the temperature range 0-15 degreesC. Reduced protein synthesis and translational capacities were found in vitro in gills of long-term aquarium-maintained Adamussium colbecki and were accounted for by a loss of protein synthesis machinery, i.e. a reduction in RNA levels, as well as a decrease in the amount of protein synthesized per milligram of RNA (RNA translational capacity, k(RNA in vitro)). Such changes may involve food uptake or mirror metabolic depression strategies, like those occurring during winter. Consequences of high in vitro RNA translational capacities found in the permanently cold-adapted species are discussed in the context of seasonal food availability and growth rates at high latitudes.</t>
  </si>
  <si>
    <t>Alfred Wegener Inst Polar &amp; Marine Res, D-27568 Bremerhaven, Germany; Leibniz Inst Freshwater Ecol &amp; Inland Fisheries, D-12561 Berlin, Germany</t>
  </si>
  <si>
    <t>Helmholtz Association; Alfred Wegener Institute, Helmholtz Centre for Polar &amp; Marine Research; Leibniz Institut fur Gewasserokologie und Binnenfischerei (IGB)</t>
  </si>
  <si>
    <t>Pörtner, HO (corresponding author), Alfred Wegener Inst Polar &amp; Marine Res, Columbusstr, D-27568 Bremerhaven, Germany.</t>
  </si>
  <si>
    <t>Pörtner, Hans-O./K-9429-2016; Pörtner, Hans-O./ISU-9397-2023</t>
  </si>
  <si>
    <t>Pörtner, Hans-O./0000-0001-6535-6575; Storch, Daniela/0000-0003-3090-7554; Heilmayer, Olaf/0000-0003-1849-1381</t>
  </si>
  <si>
    <t>0174-1578</t>
  </si>
  <si>
    <t>J COMP PHYSIOL B</t>
  </si>
  <si>
    <t>J. Comp. Physiol. B-Biochem. Syst. Environ. Physiol.</t>
  </si>
  <si>
    <t>10.1007/s00360-003-0371-7</t>
  </si>
  <si>
    <t>Physiology; Zoology</t>
  </si>
  <si>
    <t>720DR</t>
  </si>
  <si>
    <t>WOS:000185246700009</t>
  </si>
  <si>
    <t>Calvo, N; Durany, J; Vázquez, C</t>
  </si>
  <si>
    <t>Finite elements numerical solution of a coupled profile-velocity-temperature shallow ice sheet approximation model</t>
  </si>
  <si>
    <t>JOURNAL OF COMPUTATIONAL AND APPLIED MATHEMATICS</t>
  </si>
  <si>
    <t>Conference on Computational and Mathematical Methods for Science and Engineering (CMMSE 2002)</t>
  </si>
  <si>
    <t>SEP 20-25, 2002</t>
  </si>
  <si>
    <t>UNIV ALICANTE, ALICANTE, SPAIN</t>
  </si>
  <si>
    <t>UNIV ALICANTE</t>
  </si>
  <si>
    <t>shallow ice models; Stefan-Signorini; moving boundary; transport-diffusion; duality; finite elements</t>
  </si>
  <si>
    <t>DYNAMICS</t>
  </si>
  <si>
    <t>This work deals with the numerical solution of a complex mathematical model arising in theoretical glaciology. The global moving boundary problem governs thermomechanical processes jointly with ice sheet hydrodynamics. One major novelty is the inclusion of the ice velocity field computation in the framework of the shallow ice model so that it can be coupled with profile and temperature equations. Moreover, the proposed basal velocity and shear stress laws allow the integration of basal sliding effects in the global model. Both features were not taking into account in a previous paper (Math. Model. Methods Appl. Sci. 12 (2) (2002) 229) and provide more realistic convective terms and more complete Signorini boundary conditions for the thermal problem. In the proposed numerical algorithm, one- and two-dimensional piecewise linear Lagrange finite elements in space and a semi-implicit upwinding scheme in time are combined with duality and Newton's methods for nonlinearities. A simulation example involving real data issued from Antarctic shows the temperature, profile and velocity qualitative behaviour as well as the free boundaries and basal effects. (C) 2003 Published by Elsevier B.V.</t>
  </si>
  <si>
    <t>Univ Vigo, ETSI Telecomunicac, Dept Matemat Aplicada 2, Vigo 36280, Spain; Univ A Coruna, Fachbereich Informat, Dept Matemat, La Coruna 15071, Spain</t>
  </si>
  <si>
    <t>Universidade de Vigo; Universidade da Coruna</t>
  </si>
  <si>
    <t>Durany, J (corresponding author), Univ Vigo, ETSI Telecomunicac, Dept Matemat Aplicada 2, Campus Marcosende, Vigo 36280, Spain.</t>
  </si>
  <si>
    <t>Vazquez, Carlos/K-5498-2016</t>
  </si>
  <si>
    <t>Vazquez, Carlos/0000-0001-6591-2252; Durany, Jose/0000-0002-8585-6523</t>
  </si>
  <si>
    <t>0377-0427</t>
  </si>
  <si>
    <t>J COMPUT APPL MATH</t>
  </si>
  <si>
    <t>J. Comput. Appl. Math.</t>
  </si>
  <si>
    <t>SEP 1</t>
  </si>
  <si>
    <t>10.1016/S0377-0427(03)00466-7</t>
  </si>
  <si>
    <t>Mathematics, Applied</t>
  </si>
  <si>
    <t>Mathematics</t>
  </si>
  <si>
    <t>735WK</t>
  </si>
  <si>
    <t>WOS:000186137400005</t>
  </si>
  <si>
    <t>Pisanu, B; Chapuis, JL; Périn, R</t>
  </si>
  <si>
    <t>Syphacia obvelata infections and reproduction of male domestic mice Mus musculus domesticus on a sub-Antarctic Island</t>
  </si>
  <si>
    <t>JOURNAL OF HELMINTHOLOGY</t>
  </si>
  <si>
    <t>WILD HOUSE MICE; SMALL MAMMALS; KERGUELEN ARCHIPELAGO; AGGRESSIVE-BEHAVIOR; HORMONAL RESPONSES; MOUSE-POPULATION; SOCIAL-BEHAVIOR; BABESIA-MICROTI; BODY CONDITION; MATING SYSTEM</t>
  </si>
  <si>
    <t>The reproductive activity of feral male mice on an island of the sub-Antarctic Kerguelen archipelago was influenced by biological factors depending on periods within the breeding season. After having controlled host reproductive activity indices for body size, i.e. age, and body condition effects, Syphacia obvelata prevalence did not vary with host reproductive status or age either during the beginning or the middle-end of the reproductive season. Considering the beginning of the breeding season, worm abundance was more pronounced in males the year following a strong winter crash of the population than in years when high over wintering survival occurred. During the middle-end of the breeding season, males with the highest reproductive status were more infected than males with a lower reproductive status in years when oldest individuals dominated the population. It is suggested that this situation was due to an endocrine related increased host susceptibility partly influenced by a change in the age structure of the population, and that an increase in worm transmission was not directly related to male activity concurrent with reproductive status, nor to population density.</t>
  </si>
  <si>
    <t>Museum Natl Hist Nat, Dept Ecol &amp; Gest Biodivers, USM 0304, UMR CNRS Rennes 6553, F-75005 Paris, France</t>
  </si>
  <si>
    <t>Museum National d'Histoire Naturelle (MNHN)</t>
  </si>
  <si>
    <t>Chapuis, JL (corresponding author), Museum Natl Hist Nat, Dept Ecol &amp; Gest Biodivers, USM 0304, UMR CNRS Rennes 6553, 36 Rue Geoffroy St Hilaire, F-75005 Paris, France.</t>
  </si>
  <si>
    <t>C A B I PUBLISHING</t>
  </si>
  <si>
    <t>WALLINGFORD</t>
  </si>
  <si>
    <t>C/O PUBLISHING DIVISION, WALLINGFORD OX10 8DE, OXON, ENGLAND</t>
  </si>
  <si>
    <t>0022-149X</t>
  </si>
  <si>
    <t>J HELMINTHOL</t>
  </si>
  <si>
    <t>J. Helminthol.</t>
  </si>
  <si>
    <t>10.1079/JOH2003169</t>
  </si>
  <si>
    <t>Parasitology; Zoology</t>
  </si>
  <si>
    <t>707NC</t>
  </si>
  <si>
    <t>WOS:000184515900008</t>
  </si>
  <si>
    <t>Oikawa, T; Kazuoka, T; Soda, K</t>
  </si>
  <si>
    <t>Paradoxical thermostable enzymes from psychrophile: molecular characterization and potentiality for biotechnological application</t>
  </si>
  <si>
    <t>JOURNAL OF MOLECULAR CATALYSIS B-ENZYMATIC</t>
  </si>
  <si>
    <t>thermostable enzyme; psychrophile; aldehyde dehydrogenase; aspartase</t>
  </si>
  <si>
    <t>ANTARCTIC PSYCHROPHILE; TRANSFER STEREOSPECIFICITY; PROTEIN THERMOSTABILITY; ALDEHYDE DEHYDROGENASE; THERMAL-STABILITY; ESCHERICHIA-COLI; L-ASPARTASE; PURIFICATION; SYNTHASE; STRAIN</t>
  </si>
  <si>
    <t>NAD(P)(+)-dependent aldehyde dehydrogenase (EC 1.2.1.5) and aspartase (EC 4.3.1.1) in the cells of an atypical psychrophile from Antarctic seawater, Cytophaga sp. KUC-1, were paradoxically thermostable, although they derived from a psychrophile. Both enzymes showed the highest activity at about 55 degreesC, and also active even under cold conditions. The enzymes contained more lie residues than the enzymes from mesophiles. The Ile/Ile + Val + Len ratio of the Cytophaga thermostable enzymes was much higher than that of the enzymes from mesophiles. As compared with the enzymes from other microorganisms, the Cytophaga thermostable enzymes have the structural differences in the C-terminal region of the enzymes. Therefore, the C-terminal region might be important for the paradoxical thermostability of the enzymes. The psychrophilic microorganism produces not only psychrophilic enzyme, but thermostable enzyme with psychrophilicity. Therefore, the psychrophilic microorganism is one of the candidates for isolation of novel biocatalysts, which have potential for various industrial applications. (C) 2003 Elsevier B.V. All rights reserved.</t>
  </si>
  <si>
    <t>Kansai Univ, Dept Biotechnol, Fac Engn, Suita, Osaka Fu 5648680, Japan; Kansai Univ, High Technol Res Ctr, Suita, Osaka Fu 5648680, Japan</t>
  </si>
  <si>
    <t>Kansai University; Kansai University</t>
  </si>
  <si>
    <t>Oikawa, T (corresponding author), Kansai Univ, Dept Biotechnol, Fac Engn, Suita, Osaka Fu 5648680, Japan.</t>
  </si>
  <si>
    <t>1381-1177</t>
  </si>
  <si>
    <t>J MOL CATAL B-ENZYM</t>
  </si>
  <si>
    <t>J. Mol. Catal. B-Enzym.</t>
  </si>
  <si>
    <t>2-6</t>
  </si>
  <si>
    <t>10.1016/S1381-1177(03)00073-0</t>
  </si>
  <si>
    <t>Biochemistry &amp; Molecular Biology; Chemistry, Physical</t>
  </si>
  <si>
    <t>Biochemistry &amp; Molecular Biology; Chemistry</t>
  </si>
  <si>
    <t>720QD</t>
  </si>
  <si>
    <t>WOS:000185270700002</t>
  </si>
  <si>
    <t>Izaguirre, I; Allende, L; Marinone, MC</t>
  </si>
  <si>
    <t>Comparative study of the planktonic communities of three lakes of contrasting trophic status at Hope Bay (Antarctic Peninsula)</t>
  </si>
  <si>
    <t>MICROBIAL COMMUNITY; POTTER PENINSULA; CIERVA POINT; PHYTOPLANKTON; DYNAMICS; PICOPLANKTON; BIOMASS; BACTERIOPLANKTON; BACTERIA; ISLAND</t>
  </si>
  <si>
    <t>Three water bodies of contrasting trophic status located at Hope Bay (Antarctic Peninsula) were studied during the summer of 1999, analysing all of their planktonic communities (zooplankton, phytoplankton and bacterioplankton) and their main limnological features. Important differences associated with their trophic conditions were found among lakes. At one extreme of the gradient, in the most oligotrophic lake (Lake Chico), the nektobenthic copepod Boeckella poppei and the rotifer Philodina gregaria were dominant in the open waters, and copepods presented a single reproductive event (univoltine life cycle); phytoplankton exhibited the lowest densities, dominated by nanoplanktonic Chrysophyceae and picocyanobacteria. In the meso-eutrophic Lake Boeckella, B. poppei, the dominant zooplankter, exhibited a multivoltine life cycle; phytoplankton were mainly represented by nanoplanktonic species of Volvocales, alternating with flagellate Chrysophyceae, and a great abundance of picocyanobacteria. In the hypertrophic Pingui Pond, zooplankters were exclusively represented by bdelloid rotifers and ciliates; phytoplankton samples included some strictly planktonic species (Volvocales), a great proportion of picocyanobacteria and many typically benthic species (oscillatorians and diatoms) due to the shallowness of the water body. Bacterioplankton densities did not show important differences among lakes, but fluctuations, probably associated with a top-down control, were observed in the hypertrophic pond. This paper constitutes the first survey concerning all the planktonic compartments of water bodies of different trophic status at Hope Bay, describing the relative contributions of autotrophic and heterotrophic components to their food webs.</t>
  </si>
  <si>
    <t>Univ Buenos Aires, Fac Ciencias Exactas &amp; Nat, Dept Ecol Genet &amp; Evoluc, Buenos Aires, DF, Argentina; Consejo Nacl Invest Cient &amp; Tecn, RA-1033 Buenos Aires, DF, Argentina; Univ Buenos Aires, Fac Ciencias Exactas &amp; Nat, Dept Biodivers &amp; Biol Expt, Buenos Aires, DF, Argentina</t>
  </si>
  <si>
    <t>University of Buenos Aires; Consejo Nacional de Investigaciones Cientificas y Tecnicas (CONICET); University of Buenos Aires</t>
  </si>
  <si>
    <t>Univ Buenos Aires, Fac Ciencias Exactas &amp; Nat, Dept Ecol Genet &amp; Evoluc, Pabellon 2,Ciudad Univ,C1428EHA, Buenos Aires, DF, Argentina.</t>
  </si>
  <si>
    <t>iri@bg.fcen.uba.ar</t>
  </si>
  <si>
    <t>1464-3774</t>
  </si>
  <si>
    <t>10.1093/plankt/25.9.1079</t>
  </si>
  <si>
    <t>718LX</t>
  </si>
  <si>
    <t>WOS:000185148600007</t>
  </si>
  <si>
    <t>Oliver, RL; Whittington, J; Lorenz, Z; Webster, IT</t>
  </si>
  <si>
    <t>The influence of vertical mixing on the photoinhibition of variable chlorophyll a fluorescence and its inclusion in a model of phytoplankton photosynthesis</t>
  </si>
  <si>
    <t>PHOTOSYSTEM-II; ULTRAVIOLET-RADIATION; MARINE DIATOM; ANTARCTIC PHYTOPLANKTON; ELECTRON-TRANSPORT; OZONE DEPLETION; WATER-MOVEMENT; QUANTUM YIELD; IN-SITU; LIGHT</t>
  </si>
  <si>
    <t>The maximum effective quantum yield of photosystem II was estimated from measurements of variable chlorophyll a fluorescence [(F'(m) - F'(o))/F'(m) = F'(v)/F'(m)] in samples of phytoplankton collected from various depths in Chaffey Reservoir, Australia. During stratified conditions, F'(v)/F'(m) showed depth-dependent decreases as irradiance increased during the morning, and increases asirradiance reduced in the afternoon. Wind-induced mixing disrupted the diel pattern, but even under well-mixed conditions a vertical gradient in F'(v)/F'(m) remained. Differences in F'(v)/F'(m) values between samples incubated at fixed depths and unconstrained lake samples enabled identification of the phytoplankton mixing depth. Recovery of F'(v)/F'(m) was modelled as a function of time and the degree of F'(v)/F'(m) inhibition, while damage was considered a function of photon dose. A combined, numerical model was fitted to diel sequences of F'(v)/F'(m) to estimate rate constants for damage and repair. Recovery rate constants ranged from r = 0.7 x 10(-4) to 9.1 x 10(-4) s(-1), while damage rate constants ranged from k = 0.03 to 0.22 m(2) mol photon(-1). A fluorescence-based model of photosynthesis was used to investigate the effects of wind speed, euphotic depth and mixed layer depth on photoinhibition. At different mixing rates, depth-integrated photosynthesis was enhanced by up to 16% under the conditions tested, while increases of 9% occurred between phytoplankton with different measured damage and repair characteristics.</t>
  </si>
  <si>
    <t>Murray Darling Freshwater Res Ctr, Cooperat Res Ctr Freshwater Ecol, Albury, NSW 2640, Australia; CSIRO Land &amp; Water, Black Mt, ACT 2601, Australia</t>
  </si>
  <si>
    <t>Murray Darling Basin Authority; Commonwealth Scientific &amp; Industrial Research Organisation (CSIRO)</t>
  </si>
  <si>
    <t>Oliver, RL (corresponding author), Murray Darling Freshwater Res Ctr, Cooperat Res Ctr Freshwater Ecol, POB 921, Albury, NSW 2640, Australia.</t>
  </si>
  <si>
    <t>Ross, Donald J/F-7607-2012; Webster, Ian T/E-7196-2011; Oliver, Roderick/D-4195-2011</t>
  </si>
  <si>
    <t>Oliver, Roderick/0000-0003-2238-1740</t>
  </si>
  <si>
    <t>10.1093/plankt/25.9.1107</t>
  </si>
  <si>
    <t>WOS:000185148600009</t>
  </si>
  <si>
    <t>Church, MJ; DeLong, EF; Ducklow, HW; Karner, MB; Preston, CM; Karl, DM</t>
  </si>
  <si>
    <t>Abundance and distribution of planktonic Archaea and Bacteria in the waters west of the Antarctic Peninsula</t>
  </si>
  <si>
    <t>LIMNOLOGY AND OCEANOGRAPHY</t>
  </si>
  <si>
    <t>DEEP-SEA; VERTICAL-DISTRIBUTION; BRANSFIELD STRAIT; MARINE; DIVERSITY; PROBES; OLIGONUCLEOTIDE; IDENTIFICATION; ASSEMBLAGES; VARIABILITY</t>
  </si>
  <si>
    <t>Polyribonucleotide probes targeting planktonic archaeal (Group I and II) and bacterial rRNA revealed that Archaea comprised a significant fraction of total prokaryote cell abundance in the marine waters west of the Antarctic Peninsula. Determinations of Archaea and Bacteria cell abundances were made during two research cruises to the Palmer Long-Term Ecological Research region during the austral winter and summer of 1999. During the austral summer, surface water abundances of Group I (GI) Archaea were generally low, averaging 4.7 x 10(3) cells ml(-1) and accounting for 1% of the total picoplankton assemblage. The abundance of GI Archaea increased significantly with depth, averaging 2.1 x 10(4) cells ml(-1) and comprising 9-39% of the total picoplankton abundance in the meso(150-1,000 m) and bathypelagic (1,000-3,500 m) circumpolar deep water (CDW). Relative to summertime distributions, GI cells were more evenly distributed throughout the water column during the winter, averaging 10% of the picoplankton in the surface waters and 13% in the CDW Surface water GI abundance increased 44% between the summer and winter, coincident with a fivefold decrease in GI abundance in the deeper waters. The abundance of Group II (GII) Archaea was persistently &lt;2% of the total picoplankton throughout the water column in both summer and winter. Bacterial abundance was greatest in the upper water column (0-100 m) during the summer, averaging 3.9 x 10(5) cells ml(-1) and comprised 89% of the total picoplankton assemblage. Generally, GI Archaea varied seasonally in the deeper waters, whereas bacterial abundance varied more in the upper waters. The observed variability in bacterial and archaeal abundance suggests that these two groups of marine picoplankton are dynamic components of Southern Ocean microbial food webs.</t>
  </si>
  <si>
    <t>Coll William &amp; Mary, Sch Marine Sci, Gloucester Point, VA 23062 USA; Monterey Bay Aquarium Res Inst, Moss Landing, CA 95039 USA; Univ Hawaii, Dept Oceanog, Honolulu, HI 96822 USA</t>
  </si>
  <si>
    <t>William &amp; Mary; Monterey Bay Aquarium Research Institute; University of Hawaii System</t>
  </si>
  <si>
    <t>Univ Calif Santa Cruz, Ocean Sci Dept, Santa Cruz, CA 95064 USA.</t>
  </si>
  <si>
    <t>mchurch@es.ucsc.edu</t>
  </si>
  <si>
    <t>Karl, David/AFP-3837-2022</t>
  </si>
  <si>
    <t>Karl, David/0000-0002-6660-6721; Church, Matthew/0000-0002-6166-8579</t>
  </si>
  <si>
    <t>0024-3590</t>
  </si>
  <si>
    <t>1939-5590</t>
  </si>
  <si>
    <t>LIMNOL OCEANOGR</t>
  </si>
  <si>
    <t>Limnol. Oceanogr.</t>
  </si>
  <si>
    <t>10.4319/lo.2003.48.5.1893</t>
  </si>
  <si>
    <t>Limnology; Oceanography</t>
  </si>
  <si>
    <t>723LK</t>
  </si>
  <si>
    <t>Bronze, Green Submitted</t>
  </si>
  <si>
    <t>WOS:000185433700016</t>
  </si>
  <si>
    <t>Hirst, AG; Bunker, AJ</t>
  </si>
  <si>
    <t>Growth of marine planktonic copepods:: Global rates and patterns in relation to chlorophyll a, temperature, and body weight</t>
  </si>
  <si>
    <t>LONG-ISLAND SOUND; BENGUELA UPWELLING SYSTEM; EGG-PRODUCTION RATES; ACARTIA-TONSA; CALANUS-PACIFICUS; POPULATION-DYNAMICS; MESOZOOPLANKTON PRODUCTION; ZOOPLANKTON PRODUCTION; REPRODUCTIVE-BIOLOGY; CYCLOPOID COPEPODS</t>
  </si>
  <si>
    <t>We compiled a global data set of copepod in situ weight-specific fecundity and growth rates, together with measurements of their body weights, and the chlorophyll a and temperature of the natural water in which these animals were growing. Juveniles can achieve half-saturation of their growth (K-m) at chlorophyll a concentrations almost an order of magnitude lower than adult females can their weight-specific fecundity. Adult weight-specific fecundity rates in situ are correlated with temperature, but the Q(10)s of 1.59 and 1.43 in broadcast and sac spawners, respectively, are much lower than under food saturated laboratory conditions (Q(10)s of 2.75 and 3.98). By comparing the in situ and laboratory food saturated results we are able to assess food limitation in the environment. The degree of food limitation increases with increasing temperature for adults; in situ rates approximate food saturated rates at low temperatures (0-10degrees), at 25degreesC they are on average only about one-fifth of those at food saturation. By contrast, in situ juvenile rates are more strongly temperature-dependent than their adults and close to food saturation even at high temperatures. Juveniles grow much more rapidly and closer to food saturation than do adults of a similar size. There are several possible reasons for this. Compounds needed for egg production may simply be more dilute than those used in somatic growth. However, it is also possible that food limitation acts very differently in adults than juveniles. Molting rates in juveniles are strongly temperature dictated, and if sufficient weight is not added between molts, these slower growing juveniles do not survive. Adults, by contrast, can survive for long periods without having sufficient food to produce eggs..</t>
  </si>
  <si>
    <t>British Antarctic Survey, NERC, Cambridge CB3 0ET, England; Heriot Watt Univ, Dept Biol Sci, Edinburgh EH14 4AS, Midlothian, Scotland</t>
  </si>
  <si>
    <t>UK Research &amp; Innovation (UKRI); Natural Environment Research Council (NERC); NERC British Antarctic Survey; Heriot Watt University</t>
  </si>
  <si>
    <t>Hirst, AG (corresponding author), British Antarctic Survey, NERC, High Cross,Madingley Rd, Cambridge CB3 0ET, England.</t>
  </si>
  <si>
    <t>Hirst, Andrew G/A-6296-2013</t>
  </si>
  <si>
    <t>Hirst, Andrew/0000-0001-9132-1886</t>
  </si>
  <si>
    <t>AMER SOC LIMNOLOGY OCEANOGRAPHY</t>
  </si>
  <si>
    <t>WACO</t>
  </si>
  <si>
    <t>5400 BOSQUE BLVD, STE 680, WACO, TX 76710-4446 USA</t>
  </si>
  <si>
    <t>10.4319/lo.2003.48.5.1988</t>
  </si>
  <si>
    <t>WOS:000185433700026</t>
  </si>
  <si>
    <t>Tarling, GA; Cuzin-Roudy, J</t>
  </si>
  <si>
    <t>Synchronization in the molting and spawning activity of northern krill (Meganyctiphanes norvegica) and its effect on recruitment</t>
  </si>
  <si>
    <t>WARM OCEAN YEARS; EUPHAUSIA-SUPERBA; ANTARCTIC KRILL; POPULATION-DYNAMICS; LIFE-HISTORY; INTERANNUAL VARIATIONS; OVARIAN DEVELOPMENT; BARKLEY SOUND; CYCLE; CRUSTACEA</t>
  </si>
  <si>
    <t>The molting, spawning, and recruitment of northern krill (Meganyctiphanes norvegica) were analyzed over an annual cycle (1999-2000) in the Clyde Sea (west coast of Scotland). Results supported the hypothesis of a functional relationship between egg production and molt development for the duration of the reproductive season (March to August), with one reproductive cycle being made up of two molt cycles. Females remained in reproductive condition throughout the reproductive season, and the timing of their spawning and molting was synchronized at the population level throughout this period. A semiempirical model predicted that the krill population produced an egg pulse every 20 to 26 d (depending on temperature), and three cohorts were evident in net samples taken later in the year. The likely date on which the first cohort was spawned was around 26 d after the main phytoplankton bloom, suggesting that the bloom triggered egg development in all adult females. Such a synchronized spawning period was observed directly in adult females 26 d after a bloom in March 2000. A total of three cohorts over the 6-month reproductive season is less than the maximum of seven that would be possible if spawning occurred at a periodicity of between 20 and 26 d, suggesting that larval recruitment was not always successful. Analysis showed that successful recruitment was only achieved when chlorophyll a levels were adequate during both the period of egg maturation in the ovary and the subsequent development of larvae, especially the furcilia stages.</t>
  </si>
  <si>
    <t>British Antarctic Survey, NERC, Cambridge CB3 0ET, England; Scottish Assoc Marine Sci, Oban PA34 4AD, Argyll, Scotland; UPMC, INSU, CNRS, UMR 7093,Observ Oceanol, F-06230 Villefranche Sur Mer, France</t>
  </si>
  <si>
    <t>UK Research &amp; Innovation (UKRI); Natural Environment Research Council (NERC); NERC British Antarctic Survey; UHI Millennium Institute; Sorbonne Universite; Centre National de la Recherche Scientifique (CNRS); CNRS - National Institute for Earth Sciences &amp; Astronomy (INSU)</t>
  </si>
  <si>
    <t>Tarling, GA (corresponding author), British Antarctic Survey, NERC, Madingley Rd, Cambridge CB3 0ET, England.</t>
  </si>
  <si>
    <t>10.4319/lo.2003.48.5.2020</t>
  </si>
  <si>
    <t>WOS:000185433700028</t>
  </si>
  <si>
    <t>Leavitt, PR; Cumming, BF; Smol, JP; Reasoner, M; Pienitz, R; Hodgson, DA</t>
  </si>
  <si>
    <t>Climatic control of ultraviolet radiation effects on lakes</t>
  </si>
  <si>
    <t>DISSOLVED ORGANIC-CARBON; BANFF-NATIONAL-PARK; UV-B PENETRATION; BRITISH-COLUMBIA; BOREAL LAKES; ALPINE LAKE; ACIDIFICATION; VEGETATION; PHYTOPLANKTON; ENVIRONMENTS</t>
  </si>
  <si>
    <t>Ultraviolet radiation (UVR) damages most biota, yet little evidence exists for its long-term effects on natural ecosystems. We used paleoecological techniques at three low-elevation lakes to show that algal abundance in lakes was depressed 10-fold by UVR during the first millennium of lake existence. Likewise, analysis of data from a lake near treeline showed that algal biomass declined 10-25-fold both early in the lake history and during the last similar to4000 yr, when inputs of UVR-absorbing dissolved organic matter (DOM) declined despite constant nutrient levels since similar to10,000 C-14 yr before the present. This rapid (-1.25% yr(-1)), sustained (&gt;600 yr) suppression of algal abundance arose from directional climate change that reduced DOM inputs and occurred despite initial reservoirs of photoprotective DOM that are typical of most boreal lakes. Hence, we conclude that many lakes may be vulnerable to order-of-magnitude declines in algal abundance arising from future climate-DOM-UVR interactions.</t>
  </si>
  <si>
    <t>Univ Regina, Dept Biol, Limnol Lab, Regina, SK S4S 0A2, Canada; Queens Univ, Dept Biol, Paleoecol Environm Assessment &amp; Res Lab, Kingston, ON K7L 3N6, Canada; Mt Res Initiat Coordinat Off, CH-3011 Bern, Switzerland; Univ Laval, Paleolimnol Paleoecol Lab, Ctr Etud Nord, Quebec City, PQ G1K 7P4, Canada; British Antarctic Survey, NERC, Cambridge CB3 0ET, England</t>
  </si>
  <si>
    <t>University of Regina; Queens University - Canada; Laval University; UK Research &amp; Innovation (UKRI); Natural Environment Research Council (NERC); NERC British Antarctic Survey</t>
  </si>
  <si>
    <t>Leavitt, PR (corresponding author), Univ Regina, Dept Biol, Limnol Lab, Regina, SK S4S 0A2, Canada.</t>
  </si>
  <si>
    <t>Smol, John P/A-8838-2015; Leavitt, Peter R/A-1048-2013</t>
  </si>
  <si>
    <t>Leavitt, Peter R/0000-0001-9805-9307; Smol, John/0000-0002-2499-6696</t>
  </si>
  <si>
    <t>10.4319/lo.2003.48.5.2062</t>
  </si>
  <si>
    <t>WOS:000185433700032</t>
  </si>
  <si>
    <t>Furrow, FB; Amsler, CD; McClintock, JB; Baker, BJ</t>
  </si>
  <si>
    <t>Surface sequestration of chemical feeding deterrents in the Antarctic sponge Latrunculia apicalis as an optimal defense against sea star spongivory</t>
  </si>
  <si>
    <t>MARINE BIOLOGY</t>
  </si>
  <si>
    <t>TUBE-FOOT RESPONSES; SECONDARY METABOLITES; APLYSINA-FISTULARIS; PERKNASTER-FUSCUS; ORGANIC EXTRACTS; ECOLOGY; LOCALIZATION; ORIGIN; SOUND</t>
  </si>
  <si>
    <t>Latrunculia apicalis is a spherically shaped demosponge that previous investigations have shown is rarely preyed upon by sea stars which are the dominant spongivores in antarctic benthic communities. Prior studies have also demonstrated that L. apicalis produces organic compounds that elicit a tube foot retraction response in the keystone spongivorous sea star Perknaster fuscus that can be used as a reliable assay for feeding deterrence. L. apicalis is known to contain discorhabdin alkaloids which serve, among other roles, as the source of its green coloration. To assess the defensive nature of the discorhabdin alkaloids toward P. fuscus, we have determined discorhabdin G concentrations in discrete sponge layers and evaluated those concentrations in the P. fuscus bioassay. In discorhabdin G-bearing sponges, we found a gradient of discorhabdin G that falls off rapidly toward the center of the sponge. On average. 52% of total discorhabdin G in a given sponge was found within 2 mm of the sponge surface. Tube foot retraction responses to extracts from the surface tissues (0-2 mm depth) of L. apicalis were compared to those of an inner layer (8-10 mm depth) and to a sample comprised of the same inner layer spiked with discorhabdin G at a concentration equivalent to that of the surface tissues. Tube foot retraction response times to extracts of the surface layers and the spiked inner layers were not statistically different, but were significantly greater than responses to the unaltered inner layer and controls. These results support the predictions of the optimal defense theory as L. apicalis sequesters its defensive chemistry (discorhabdin G) in its most vulnerable surface tissues, where the likelihood of predation from sea stars is highest. As antarctic sponges are generally preyed upon by extraoral feeding sea stars rather than deeper biting predators such as fish, surface sequestration may be uniquely adaptive in sessile macroinvertebrates occurring in antarctic marine benthic environments.</t>
  </si>
  <si>
    <t>Univ S Florida, Dept Chem, Tampa, FL 33620 USA; Florida Inst Technol, Dept Chem, Melbourne, FL 32901 USA; Univ Alabama Birmingham, Dept Biol, Birmingham, AL 35294 USA</t>
  </si>
  <si>
    <t>State University System of Florida; University of South Florida; Florida Institute of Technology; University of Alabama System; University of Alabama Birmingham</t>
  </si>
  <si>
    <t>Univ S Florida, Dept Chem, Tampa, FL 33620 USA.</t>
  </si>
  <si>
    <t>bjbaker@chuma1.cas.usf.edu</t>
  </si>
  <si>
    <t>Amsler, Charles/0000-0002-4843-3759</t>
  </si>
  <si>
    <t>SPRINGER HEIDELBERG</t>
  </si>
  <si>
    <t>HEIDELBERG</t>
  </si>
  <si>
    <t>TIERGARTENSTRASSE 17, D-69121 HEIDELBERG, GERMANY</t>
  </si>
  <si>
    <t>0025-3162</t>
  </si>
  <si>
    <t>1432-1793</t>
  </si>
  <si>
    <t>MAR BIOL</t>
  </si>
  <si>
    <t>Mar. Biol.</t>
  </si>
  <si>
    <t>10.1007/s00227-003-1109-5</t>
  </si>
  <si>
    <t>727RK</t>
  </si>
  <si>
    <t>WOS:000185672200003</t>
  </si>
  <si>
    <t>Heilmayer, O; Brey, T</t>
  </si>
  <si>
    <t>Saving by freezing?: Metabolic rates of Adamussium colbecki in a latitudinal context</t>
  </si>
  <si>
    <t>TEMPERATURE-DEPENDENT BIOGEOGRAPHY; LATERNULA ELLIPTICA KING; PHYSIOLOGICAL ECOLOGY; OXYGEN-CONSUMPTION; PROTEIN-METABOLISM; SUMMER METABOLISM; ENERGY-METABOLISM; SEASONAL-CHANGES; ICELAND SCALLOP; COLD ADAPTATION</t>
  </si>
  <si>
    <t>Standard metabolic rates of the endemic Antarctic scallop, Adamussium colbecki (Smith, 1902), were measured in austral summer and under simulated winter conditions. Average mass-specific metabolic rates were significantly different between summer (151.17 +/- 45.06 mul O-2 g(-1) h(-1)) and winter (106.52 +/- 39.65 mul O-2 g(-1) h(-1)) animals. The overall metabolic rates of A. colbecki are comparable to those of other Antarctic bivalve species, but well below those of temperate scallop species. Data for 24 scallop populations (13 species) from different latitudes give no evidence for elevated metabolic rates in A. colbecki as suggested by the concept of metabolic cold adaptation. A world-wide comparison of metabolic rate and overall growth performance of scallops indicates that in the Antarctic scallop the energetic advantage of low basal metabolism does not counterbalance the disadvantage of the prolonged seasonal period of food shortage.</t>
  </si>
  <si>
    <t>Heilmayer, O (corresponding author), Alfred Wegener Inst Polar &amp; Marine Res, POB 120161, D-27515 Bremerhaven, Germany.</t>
  </si>
  <si>
    <t>oheilmayer@awi-bremerhaven.de</t>
  </si>
  <si>
    <t>Heilmayer, Olaf/0000-0003-1849-1381; Brey, Thomas/0000-0002-6345-2851</t>
  </si>
  <si>
    <t>10.1007/s00227-003-1079-7</t>
  </si>
  <si>
    <t>WOS:000185672200007</t>
  </si>
  <si>
    <t>Kelly, DC; Norris, RD; Zachos, JC</t>
  </si>
  <si>
    <t>Deciphering the paleoceanographic significance of Early Oligocene Braarudosphaera chalks in the South Atlantic</t>
  </si>
  <si>
    <t>MARINE MICROPALEONTOLOGY</t>
  </si>
  <si>
    <t>Braarudosphaeridae; calcareous nannofossils; lower Oligocene; South Atlantic; stable isotopes; upwelling</t>
  </si>
  <si>
    <t>STABLE-ISOTOPE; PLANKTONIC-FORAMINIFERA; MIDDLE EOCENE; OCEAN; PACIFIC; PSYCHROSPHERE; TEMPERATURES; STRATIGRAPHY; FLUCTUATIONS; CHRONOLOGY</t>
  </si>
  <si>
    <t>The recurrence of Braarudosphaera chalks in the lower Oligocene sequences of the subtropical South Atlantic has been a long-standing conundrum, with many hypotheses having been advanced to explain the genesis of these exotic nannofossil assemblages. Here, we evaluate different paleoceanographic models within the context of stable isotope delta(O-18, delta(13)C) data measured from bulk-sediment samples and well-preserved foraminifera. Two closely-spaced Braarudosphaera layers from a lower Oligocene (foram Subzone P21a, 29.4-28.5 Ma) section drilled in the southeastern Atlantic (DSDP Site 363) are investigated. Maximum durations for the blooms that deposited the lower and upper Braarudosphaera layers are estimated to be 1.1 and 2.2 k.y., respectively. Bulk-sediment samples enriched in braarudosphaerid carbonate exhibit pronounced delta(18)O increases on the order of 0.6-1.0parts per thousand which we attribute to isotopic disequilibria driven by braarudosphaerid vital effects. The two Braarudosphaera layers straddle a single peak in benthic foraminiferal delta(18)O values, suggesting that these blooms may recur on glacial/interglacial timescales. This same pair of braarudosphaerid layers also occurs as a couplet bundled with prolonged (similar to6.7 k.y.) thermocline cooling, evidence that these stratigraphically distinct deposits may represent a 'split signal' for a single paleoceanographic/paleoclimatic event. Subsumed within this episode of subsurface cooling are two short-lived, negative excursions (similar to0.5 parts per thousand) in the delta(13)C record of a thermocline-dwelling planktonic foraminifer that coincide with the braarudosphaerid layers. Thus, benthic-to-thermocline delta(18)O and delta(13)C gradients were reduced during the braarudosphaerid blooms, a hallmark signature for strengthened upwelling. Both braarudosphaerid layers are marked by transient divergences in the stable isotopic signals of two shallow-dwelling species of planktonic foraminifera. These transient delta(18)O offsets may reflect subtle differences in the depth ecologies of these two mixed-layer species. If so, then braarudosphaerid depositional events may represent 'subsurface blooms' that took place within the lower parts of the euphotic zone. Alternatively, these transient delta(18)O offsets may reflect periods of pronounced seasonality, with braarudosphaerid blooms occurring during spring upwelling. The recurrence of Braarudosphaera blooms on both sides of the South Atlantic is believed to reflect rhythmic changes in the vigor and configuration of gyre circulation. We speculate that the termination of Braarudosphaera blooms in the South Atlantic near the end of the Early Oligocene may be related to paleoceanographic change caused by the crossing of a critical threshold in the tectonic opening of the Drake Passage and the development of the Antarctic Circum-Polar Current. (C) 2003 Elsevier B.V. All rights reserved.</t>
  </si>
  <si>
    <t>Univ Wisconsin, Dept Geol &amp; Geophys, Madison, WI 53706 USA; Univ Calif San Diego, Scripps Inst Oceanog, La Jolla, CA 92093 USA; Univ Calif Santa Cruz, Dept Earth Sci, Santa Cruz, CA USA</t>
  </si>
  <si>
    <t>University of Wisconsin System; University of Wisconsin Madison; University of California System; University of California San Diego; Scripps Institution of Oceanography; University of California System; University of California Santa Cruz</t>
  </si>
  <si>
    <t>Kelly, DC (corresponding author), Univ Wisconsin, Dept Geol &amp; Geophys, 1215 W Dayton St, Madison, WI 53706 USA.</t>
  </si>
  <si>
    <t>; Zachos, James/A-7674-2008</t>
  </si>
  <si>
    <t>Kelly, Clay/0000-0002-3241-1635; Zachos, James/0000-0001-8439-1886</t>
  </si>
  <si>
    <t>0377-8398</t>
  </si>
  <si>
    <t>MAR MICROPALEONTOL</t>
  </si>
  <si>
    <t>Mar. Micropaleontol.</t>
  </si>
  <si>
    <t>10.1016/S0377-8398(03)00027-6</t>
  </si>
  <si>
    <t>Paleontology</t>
  </si>
  <si>
    <t>720QW</t>
  </si>
  <si>
    <t>WOS:000185272300003</t>
  </si>
  <si>
    <t>Delille, D; Gleizon, F</t>
  </si>
  <si>
    <t>Distribution of enteric bacteria in Antarctic seawater surrounding the Port-aux-Francais permanent station (Kerguelen Island)</t>
  </si>
  <si>
    <t>MARINE POLLUTION BULLETIN</t>
  </si>
  <si>
    <t>faecal pollution; coliform; seawater; seawage outfall; spatial distribution; seasonal changes; Sub-Antarctica</t>
  </si>
  <si>
    <t>ESCHERICHIA-COLI; MCMURDO-STATION; MARINE-ENVIRONMENT; SEWAGE OUTFALL; COASTAL WATERS; SURVIVAL; SEA; TEMPERATURE; POLLUTION; EFFLUENT</t>
  </si>
  <si>
    <t>Untreated sewage has been released from Port-aux Francais station, Kerguelen Island, into the Southern Ocean for more than 50 years. We investigated the spatial distribution of faecal bacteria indicators during a one-year survey conducted in seawater off Morbihan Bay near the French permanent station of the Kerguelen Island (49degrees21'S, 70degrees30'E). Seawater samples were taken bimonthly from nine stations evenly distributed around the sewage outfalls of the station. Escherichia coli and enterococci were estimated using specific microplates (Miniaturized method for the enumeration of E. coli or enterococci in surface and waste waters, MU/EC or MU/SF methods, BIO-RAD((C))). In order to evaluate the role of seasonal changes of environmental parameters on the survival of enteric bacteria, total and saprophytic bacterial abundances were also estimated in all seawater samples. High densities of faecal bacteria (maximum 104 cells 100 ml(-1)) were found in seawater surrounding the sewage outfall. However, enteric bacterial counts decreased rapidly with increasing distance from the outfall. In all samples collected further than 2 km from the outfall, the bacterial indicators were absent or present in small numbers (&lt;10 cells 100 ml(-1)). Faecal coliforms were not detected in samples collected at pristine sites located 10 kin from Port-aux-Francais. Despite these low contamination levels, faecal bacteria were always detected in the vicinity of the sewage outfall during the seasonal survey. The concentration of faecal bacteria may be related to the number of people inhabiting the station. (C) 2003 Elsevier Ltd. All rights reserved.</t>
  </si>
  <si>
    <t>Univ Paris 06, Observ Oceanol Banyuls, CNRS, UMR 7621,Lab Arago, F-66650 Banyuls sur Mer, France</t>
  </si>
  <si>
    <t>Sorbonne Universite; Centre National de la Recherche Scientifique (CNRS); CNRS - National Institute for Earth Sciences &amp; Astronomy (INSU)</t>
  </si>
  <si>
    <t>Univ Paris 06, Observ Oceanol Banyuls, CNRS, UMR 7621,Lab Arago, F-66650 Banyuls sur Mer, France.</t>
  </si>
  <si>
    <t>delille@arago.obs-banyuls.fr</t>
  </si>
  <si>
    <t>Daniel, Delille/S-9542-2019</t>
  </si>
  <si>
    <t>0025-326X</t>
  </si>
  <si>
    <t>1879-3363</t>
  </si>
  <si>
    <t>MAR POLLUT BULL</t>
  </si>
  <si>
    <t>Mar. Pollut. Bull.</t>
  </si>
  <si>
    <t>10.1016/S0025-326X(03)00164-4</t>
  </si>
  <si>
    <t>Environmental Sciences; Marine &amp; Freshwater Biology</t>
  </si>
  <si>
    <t>718ZA</t>
  </si>
  <si>
    <t>WOS:000185175900025</t>
  </si>
  <si>
    <t>Coren, F; Delisle, G; Sterzai, P</t>
  </si>
  <si>
    <t>Ice dynamics of the Allan Hills meteorite concentration sites revealed by satellite aperture radar interferometry</t>
  </si>
  <si>
    <t>METEORITICS &amp; PLANETARY SCIENCE</t>
  </si>
  <si>
    <t>ANTARCTIC ICE; ALLAN HILLS; SHEET</t>
  </si>
  <si>
    <t>The ice flow conditions of a 100 x 100 km area of Victoria Land, Antarctica were analyzed with the synthetic aperture radar (SAR) technique. The area includes a number of meteorite concentration sites, in particular the Allan Hills ice fields. Regional ice flow velocities around the Midwestern and Near-western ice fields and the Allan Hills main ice field are shown to be less than or equal to2.5 in yr(-1). These sites are located on a horse shoe-shaped area that bounds an area characterized by higher ice flow velocities of up to 5 m yr(-1). Meteorite find locations on the Elephant Moraine are located in this high ice flow area. The SAR derived digital elevation model (DEM) shows atypical low surface slopes for Antarctic conditions, which are the cause for the slow ice movements. Numerous ice rises in the area are interpreted to cap sub-ice obstacles, which were formed by tectonic processes in the past. The ice rises are considered to represent temporary features, which develop only during warm stages when the regional ice stand is lowered. Ice depressions, which develop in warm stages on the lee side of ice rises, may act as the sites of temporary build-up of meteorite concentrations, which turn inoperative during cold stages when the regional ice level rises and the ice rises disappear. Based on a simplified ice flow model, we argue that the regional ice flow in cold stages is reduced by a factor of at least 3.</t>
  </si>
  <si>
    <t>Bundesanstalt Geowissensch &amp; Rohstoffe, D-30655 Hannover, Germany; Natl Inst Oceanog &amp; Appl Geophys, I-34010 Trieste, Italy</t>
  </si>
  <si>
    <t>Istituto Nazionale di Oceanografia e di Geofisica Sperimentale</t>
  </si>
  <si>
    <t>Delisle, G (corresponding author), Bundesanstalt Geowissensch &amp; Rohstoffe, Stilleweg 2, D-30655 Hannover, Germany.</t>
  </si>
  <si>
    <t>COREN, Franco/0000-0002-7160-1001; STERZAI, Paolo/0000-0003-2910-8122</t>
  </si>
  <si>
    <t>METEORITICAL SOC</t>
  </si>
  <si>
    <t>FAYETTEVILLE</t>
  </si>
  <si>
    <t>DEPT CHEMISTRY/BIOCHEMISTRY, UNIV ARKANSAS, FAYETTEVILLE, AR 72701 USA</t>
  </si>
  <si>
    <t>1086-9379</t>
  </si>
  <si>
    <t>METEORIT PLANET SCI</t>
  </si>
  <si>
    <t>Meteorit. Planet. Sci.</t>
  </si>
  <si>
    <t>10.1111/j.1945-5100.2003.tb00316.x</t>
  </si>
  <si>
    <t>756GD</t>
  </si>
  <si>
    <t>WOS:000187456700002</t>
  </si>
  <si>
    <t>Obbard, R; Iliescu, D; Cullen, D; Chang, J; Baker, I</t>
  </si>
  <si>
    <t>SEM/EDS comparison of polar and seasonal temperate ice</t>
  </si>
  <si>
    <t>MICROSCOPY RESEARCH AND TECHNIQUE</t>
  </si>
  <si>
    <t>microstructure; filaments; GISP2; Byrd; Vostok; grain boundaries</t>
  </si>
  <si>
    <t>ANTARCTIC SUBGLACIAL LAKES; GREENLAND ICE; POLYCRYSTALLINE ICE; GRAIN-BOUNDARIES; VOSTOK; GLACIER; GROWTH; SHEETS; CORE; ACID</t>
  </si>
  <si>
    <t>We have developed a method employing a scanning electron microscope (SEM) and energy dispersive X-ray spectroscopy for examining uncoated ice specimens. By permitting the ice to sublimate in the SEM at temperatures between - 115degrees and - 60degreesC, enough ions are produced to prevent specimen charging. The absence of a conductive coating permits both the acquisition of uncompromised X-ray spectra, and a dynamic view of impurities as the ice sublimates. The method has enabled us to examine the microstructure and impurities in ice in ways not possible through standard melt chemistry measurements or even through using a SEM to study coated samples. Soluble impurities appeared either as white spots in grain interiors, grain boundaries, and triple junctions, or as filaments in grain boundaries. Inclusions of insoluble impurities have also been observed in natural ice. Thus, we have been able to compare the microstructural location and concentration of impurities in ice from different terrestrial locations. Even when ion chromatography of the melt from two core sections reveals similar levels of impurities, the morphology and location of the impurity aggregates can be quite different. Analysis of impurity type and location can provide clues to the depositional environment and history of the ice. (C) 2003 Wiley-Liss, Inc.</t>
  </si>
  <si>
    <t>Dartmouth Coll, Thayer Sch Engn, Hanover, NH 03755 USA</t>
  </si>
  <si>
    <t>Dartmouth College</t>
  </si>
  <si>
    <t>Obbard, R (corresponding author), Dartmouth Coll, Thayer Sch Engn, Hanover, NH 03755 USA.</t>
  </si>
  <si>
    <t>WILEY-LISS</t>
  </si>
  <si>
    <t>DIV JOHN WILEY &amp; SONS INC, 605 THIRD AVE, NEW YORK, NY 10158-0012 USA</t>
  </si>
  <si>
    <t>1059-910X</t>
  </si>
  <si>
    <t>MICROSC RES TECHNIQ</t>
  </si>
  <si>
    <t>Microsc. Res. Tech.</t>
  </si>
  <si>
    <t>10.1002/jemt.10381</t>
  </si>
  <si>
    <t>Anatomy &amp; Morphology; Biology; Microscopy</t>
  </si>
  <si>
    <t>Anatomy &amp; Morphology; Life Sciences &amp; Biomedicine - Other Topics; Microscopy</t>
  </si>
  <si>
    <t>713YV</t>
  </si>
  <si>
    <t>WOS:000184886300005</t>
  </si>
  <si>
    <t>Barnes, PRF; Wolff, EW; Mallard, DC; Mader, HM</t>
  </si>
  <si>
    <t>SEM studies of the morphology and chemistry of polar ice</t>
  </si>
  <si>
    <t>Antarctic; Greenland; grain boundaries; triple junctions; soluble chemistry</t>
  </si>
  <si>
    <t>SCANNING-ELECTRON-MICROSCOPE; GRAIN-BOUNDARIES; IMPURITIES</t>
  </si>
  <si>
    <t>Determining the microphysical location of impurities in natural ice from the polar regions is necessary for understanding the physical properties of ice and for assuring the integrity of ice core records. SEM, using a cold stage and X-ray microanalytical techniques, has proved to be the most powerful method so far for undertaking such work. Methods are adapted from those used to study frozen hydrated biological material. Sublimation within the cryo-chamber is often needed in order to concentrate impurities onto a plane, but this can lead to artifacts that must be recognized. Over 100 samples from different depths and sites in Greenland and Antarctica have been examined. Typical physical features, including air bubbles, clathrate hydrates of air, and dust particles are identified. The dust is found preferentially at grain boundaries in some samples; by pinning the boundaries, it can slow grain growth. Of the soluble material, chloride seems to be found most frequently in the ice lattice. Other impurities are found at grain boundaries, and only when the bulk concentration exceeds a threshold, at triple junctions. These findings give new insights into processes determining the physical properties of ice samples and of ice sheets, and new impetus for theoretical studies of the energetics that lead to this distribution. (C) 2003 Wiley-Liss, Inc.</t>
  </si>
  <si>
    <t>British Antarctic Survey, Cambridge CB3 0ET, England; Univ Bristol, Dept Earth Sci, Bristol BS8 1RJ, Avon, England</t>
  </si>
  <si>
    <t>UK Research &amp; Innovation (UKRI); Natural Environment Research Council (NERC); NERC British Antarctic Survey; University of Bristol</t>
  </si>
  <si>
    <t>Wolff, EW (corresponding author), British Antarctic Survey, High Cross,Madingley Rd, Cambridge CB3 0ET, England.</t>
  </si>
  <si>
    <t>Wolff, Eric W/D-7925-2014; Barnes, Piers/F-1558-2010</t>
  </si>
  <si>
    <t>Wolff, Eric W/0000-0002-5914-8531; Barnes, Piers/0000-0002-7537-8759</t>
  </si>
  <si>
    <t>10.1002/jemt.10385</t>
  </si>
  <si>
    <t>WOS:000184886300006</t>
  </si>
  <si>
    <t>Stevens, MI; Hogg, ID</t>
  </si>
  <si>
    <t>Long-term isolation and recent range expansion from glacial refugia revealed for the endemic springtail Gomphiocephalus hodgsoni from Victoria Land, Antarctica</t>
  </si>
  <si>
    <t>MOLECULAR ECOLOGY</t>
  </si>
  <si>
    <t>allozymes; Collembola; habitat fragmentation; mitochondrial DNA; phylogeography</t>
  </si>
  <si>
    <t>GENETIC-VARIATION; ICE AGES; POPULATION-STRUCTURE; SPECIATION; DNA; PHYLOGEOGRAPHY; DIVERSITY; DISTANCE; DISPERSAL; PATTERNS</t>
  </si>
  <si>
    <t>We examined the phylogeography of the endemic Antarctic collembolan Gomphiocephalus hodgsoni using allozymes and mitochondrial DNA (mtDNA; COI) to determine if potentially limited dispersal and long-term habitat fragmentation have promoted regional genetic differentiation. Allozyme analyses showed that differentiation among 21 populations within the Ross Dependency was high (F-ST = 0.55) with two main groups each representing a distinct geographical region: (1) Ross Island and Beaufort Island; and (2) all continental sites. Ross Island populations showed low levels of differentiation (F-ST = 0.05) and no correlation with geographical distance, suggesting their derivation from a single glacial refuge. By contrast, continental regions revealed moderate levels of differentiation (F-ST = 0.27) and a strong correlation with geographical distance, indicating a much older history with several refugia likely. Two sympatric allozyme genotypes were found at three continental sites from Taylor Valley and were congruent with two mtDNA haplotypes, implying nonrandom breeding groups. Although haplotype sharing between one Ross Island site (Cape Bird) and one continental site (Granite Harbour) was identified, the clades showed mostly fragmented allopatric distributions. The extensive Pleistocene glaciations, in conjunction with limited dispersal opportunities, appear to have promoted isolation and divergence among the fragmented habitats. Furthermore, the McMurdo Sound appears to be an effective isolating barrier to dispersal. However, we suggest that the unaided dispersal capacity of G. hodgsoni is unlikely to account for the limited mixing of haplotypes across the McMurdo Sound and recent human- or bird-mediated dispersal is highly probable.</t>
  </si>
  <si>
    <t>Univ Waikato, Dept Biol Sci, Ctr Biodivers &amp; Ecol Res, Hamilton, New Zealand</t>
  </si>
  <si>
    <t>University of Waikato</t>
  </si>
  <si>
    <t>Univ Waikato, Dept Biol Sci, Ctr Biodivers &amp; Ecol Res, Private Bag 3105, Hamilton, New Zealand.</t>
  </si>
  <si>
    <t>mstevens@waikato.ac.nz</t>
  </si>
  <si>
    <t>Hogg, Ian D./HNS-7393-2023</t>
  </si>
  <si>
    <t>Hogg, Ian D./0000-0002-6685-0089</t>
  </si>
  <si>
    <t>0962-1083</t>
  </si>
  <si>
    <t>1365-294X</t>
  </si>
  <si>
    <t>MOL ECOL</t>
  </si>
  <si>
    <t>Mol. Ecol.</t>
  </si>
  <si>
    <t>10.1046/j.1365-294X.2003.01907.x</t>
  </si>
  <si>
    <t>Biochemistry &amp; Molecular Biology; Ecology; Evolutionary Biology</t>
  </si>
  <si>
    <t>Biochemistry &amp; Molecular Biology; Environmental Sciences &amp; Ecology; Evolutionary Biology</t>
  </si>
  <si>
    <t>720HZ</t>
  </si>
  <si>
    <t>WOS:000185256500007</t>
  </si>
  <si>
    <t>Lento, GM; Baker, CS; David, V; Yuhki, N; Gales, NJ; O'Brien, SJ</t>
  </si>
  <si>
    <t>Automated single-strand conformation polymorphism reveals low diversity of a Major Histocompatibility Complex Class II gene in the threatened New Zealand sea lion</t>
  </si>
  <si>
    <t>MOLECULAR ECOLOGY NOTES</t>
  </si>
  <si>
    <t>ABI; DQB; genetic diversity; major histocompatibility complex; new Zealand sea lion; population genetics; SSCP</t>
  </si>
  <si>
    <t>POPULATION BIOLOGY; MUTATIONS; EVOLUTION; LOCUS</t>
  </si>
  <si>
    <t>Single-strand conformation polymorphism (SSCP) analysis of the second exon of the DQB gene in the endemic New Zealand sea lion (Phocarctos hookeri) was automated using fluorescently-labelled PCR primers and a capillary sequencer. SSCP mobility profiles (n = 61 individuals) were confirmed by direct sequencing of genomic polymerase chain reaction (PCR) products (n = 39). We found only two alleles defined by changes at a single codon of this apparently functional locus. SSCP at a constant temperature above ambient allowed consistent and rapid genotyping. By comparison, sequence-based genotyping was highly dependent on the threshold used to identify secondary peaks indicative of a heterozygote.</t>
  </si>
  <si>
    <t>Univ Auckland, Sch Biol Sci, Populat Genet &amp; Evolut Res Grp, Auckland 1, New Zealand; NCI, Frederick Canc Res &amp; Dev Ctr, Div Basic Sci, Lab Genom Divers, Frederick, MD 21702 USA; Australian Antarctic Div, Kingston, Tas 7050, Australia</t>
  </si>
  <si>
    <t>University of Auckland; National Institutes of Health (NIH) - USA; NIH National Cancer Institute (NCI); Science Applications International Corporation (SAIC); SAIC-Frederick; Australian Antarctic Division</t>
  </si>
  <si>
    <t>Baker, CS (corresponding author), Univ Auckland, Sch Biol Sci, Populat Genet &amp; Evolut Res Grp, Private Bag 92019, Auckland 1, New Zealand.</t>
  </si>
  <si>
    <t>OBRIEN, STEPHEN/ABD-1346-2020</t>
  </si>
  <si>
    <t>OBRIEN, STEPHEN/0000-0001-7857-0757</t>
  </si>
  <si>
    <t>1471-8278</t>
  </si>
  <si>
    <t>MOL ECOL NOTES</t>
  </si>
  <si>
    <t>Mol. Ecol. Notes</t>
  </si>
  <si>
    <t>10.1046/j.1471-8286.2003.00445.x</t>
  </si>
  <si>
    <t>719VG</t>
  </si>
  <si>
    <t>WOS:000185225300006</t>
  </si>
  <si>
    <t>Patarnello, T; Marcato, S; Zane, L; Varotto, V; Bargelloni, L</t>
  </si>
  <si>
    <t>Phylogeography of the Chionodraco genus (Perciformes, Channichthydae) in the Southern Ocean</t>
  </si>
  <si>
    <t>MOLECULAR PHYLOGENETICS AND EVOLUTION</t>
  </si>
  <si>
    <t>Annual Meeting of the Society-for-Molecular-Biology-and-Evolution</t>
  </si>
  <si>
    <t>JUN 13-16, 2002</t>
  </si>
  <si>
    <t>SORRENTY, ITALY</t>
  </si>
  <si>
    <t>CHAMPSOCEPHALUS-GUNNARI; GENETIC-VARIATION; CONTROL-REGION; POPULATIONS; KRILL; CONSERVATION; PHYLOGENIES; HAPLOTYPES; INSIGHTS; ISLANDS</t>
  </si>
  <si>
    <t>Antarctic fish of the suborder Notothenoidei represent one of the most notable examples of adaptive radiation in the marine environment. The evolutionary relationships between and within the eight families of this suborder have been well established by numerous studies, whereas the microevolutionary processes of notothenioid species remain largely unexplored. In the present paper we investigated the evolutionary relationships between three closely related species of the genus Chionadraco (family Channichthyidae), namely Chionodraco hamatus, Chionodraco rastrospinosus, and Chionodraco myersi by analysing portions of the mitochondrial genome (D-loop and 16S rRNA). The taxonomic status of C. hamatus and C. rastrospinostis as separate species has been questioned because of the limited number of key morphological characters that distinguish these two taxa. Our results, based on the analysis of several specimens belonging to both morphological groups revealed a small genetic differentiation among haplotypes, however, a clear separation between the two nominal species emerged since all individuals of each of the two taxa clustered together in distinct monophyletic groups. C. myersi appeared more distantly related in the phylogenetic analysis. For one, species, C. hamatus, sampling was carried out at three different geographic locations in the area of the Ross Sea and Weddell Sea. The results showed that the partition of the genetic variation within this species is not compatible with the hypothesis of panmixia as gene flow between populations was significantly reduced. (C) 2003 Elsevier Science (USA). All rights reserved.</t>
  </si>
  <si>
    <t>Univ Padua, Dept Biol, I-35121 Padua, Italy; Univ Padua, Fac Vet Med, I-35020 Padua, Italy</t>
  </si>
  <si>
    <t>University of Padua; University of Padua</t>
  </si>
  <si>
    <t>Patarnello, T (corresponding author), Univ Padua, Dept Biol, Via G Colombo, I-35121 Padua, Italy.</t>
  </si>
  <si>
    <t>Zane, Lorenzo/G-6249-2010</t>
  </si>
  <si>
    <t>Zane, Lorenzo/0000-0002-6963-2132; PATARNELLO, Tomaso/0000-0003-1794-5791</t>
  </si>
  <si>
    <t>ACADEMIC PRESS INC ELSEVIER SCIENCE</t>
  </si>
  <si>
    <t>SAN DIEGO</t>
  </si>
  <si>
    <t>525 B ST, STE 1900, SAN DIEGO, CA 92101-4495 USA</t>
  </si>
  <si>
    <t>1055-7903</t>
  </si>
  <si>
    <t>MOL PHYLOGENET EVOL</t>
  </si>
  <si>
    <t>Mol. Phylogenet. Evol.</t>
  </si>
  <si>
    <t>10.1016/S1055-7903(03)00124-6</t>
  </si>
  <si>
    <t>Biochemistry &amp; Molecular Biology; Evolutionary Biology; Genetics &amp; Heredity</t>
  </si>
  <si>
    <t>715LY</t>
  </si>
  <si>
    <t>WOS:000184974800004</t>
  </si>
  <si>
    <t>Jongens, R; Bradshaw, JD; Fowlert, AP</t>
  </si>
  <si>
    <t>The Balloon Melange, northwest Nelson: origin, structure, and emplacement</t>
  </si>
  <si>
    <t>NEW ZEALAND JOURNAL OF GEOLOGY AND GEOPHYSICS</t>
  </si>
  <si>
    <t>Cambrian; Nelson; Balloon Melange; structure; tectonics; cleavage; zircon ages; Takaka Terrane</t>
  </si>
  <si>
    <t>EARLY PALEOZOIC TERRANES; NEW-ZEALAND; ACCRETIONARY COMPLEX; EVOLUTION; DEFORMATION; PROVENANCE; AUSTRALIA; EXAMPLES; DIAPIRS; MARGIN</t>
  </si>
  <si>
    <t>New work on the Balloon Melange, a regional scale body of disrupted sandstone and mudstone that encloses a number of exotic blocks, suggests that the characteristic fabric has a two-stage origin. The first stage is dominated by layer parallel extension in weakly lithified rocks, and the second by further strain and cleavage development in lithified rock. Location of intrusive contacts between melange and arc assemblage rocks suggests that initial disruption was followed by a diapiric intrusion into a Cambrian volcanic arc plus arc-derived sediment host, probably in the latest Cambrian. Mesoscopic and microscopic structural examination shows the fabric was extensively modified during the development of S, slaty cleavage. Cleavage formation postdates diagenesis in both melange and host and probably developed in the mid Paleozoic. Petrology, geochronology, and geochemistry confirm that quartzofeldpathic sediments similar to the Junction Formation were the dominant contributors to the melange. The quartzofeldspathic suite (Junction Formation and Balloon Melange protolith) has an Australian-Antarctic provenance and is thought to be part of a submarine fan that may have been incorporated into an accretionary complex developed near the trench at a convergent plate boundary. Further crustal shortening is required to place the volcanic arc assemblage above the accretionary complex prior to diapiric injection of the melange. Subcretion of water-rich sediments above a subduction zone would create an environment predisposed to diapiric intrusion. Scale, and the juxtaposition of rocks of backarc, arc, and accretionary complex origin, points to significant shortening after arc volcanism ceased. The architecture of the Southwest Pacific sector of the Cambrian Gondwana margin and plate boundary is not well understood. Crustal shortening and thrusting are widely developed in the Late Cambrian to Early Ordovician Ross-Delamerian orogen, and the events leading to the emplacement of the Balloon Melange suggest that the Ross-Delamerian orogeny affected northwest Nelson.</t>
  </si>
  <si>
    <t>Univ Canterbury, Dept Geol Sci, Christchurch 1, New Zealand</t>
  </si>
  <si>
    <t>University of Canterbury</t>
  </si>
  <si>
    <t>Jongens, R (corresponding author), Inst Geol &amp; Nucl Sci, POB 30368, Lower Hutt, New Zealand.</t>
  </si>
  <si>
    <t>r.jongens@gns.cri.nz; a.fowler2@pgrad.unimelb.edu.au</t>
  </si>
  <si>
    <t>2-4 PARK SQUARE, MILTON PARK, ABINGDON OR14 4RN, OXON, ENGLAND</t>
  </si>
  <si>
    <t>0028-8306</t>
  </si>
  <si>
    <t>1175-8791</t>
  </si>
  <si>
    <t>NEW ZEAL J GEOL GEOP</t>
  </si>
  <si>
    <t>N. Z. J. Geol. Geophys.</t>
  </si>
  <si>
    <t>10.1080/00288306.2003.9515019</t>
  </si>
  <si>
    <t>Geology; Geosciences, Multidisciplinary</t>
  </si>
  <si>
    <t>738QN</t>
  </si>
  <si>
    <t>WOS:000186299500008</t>
  </si>
  <si>
    <t>Koshlyakov, MN; Tarakanov, RY</t>
  </si>
  <si>
    <t>Antarctic circumpolar water in the southern part of the Pacific Ocean</t>
  </si>
  <si>
    <t>OCEANOLOGY</t>
  </si>
  <si>
    <t>CIRCULATION; MASSES</t>
  </si>
  <si>
    <t>The World Ocean Circulation Experiment (WOCE) climatic data and the data of WOCE sections are used to study the propagation and properties of the Lower Circumpolar Deep Water (LCDW) and the Circumpolar Bottom Water (CBW) in the southern part of the Pacific Ocean. The spatial position of the boundaries between these water masses is found using a new original method. The Bottom Water of the Southwest Pacific Basin and the Chile Bottom Water are distinguished, which are local modifications of the LCDW. The contributions of the LCDW and the Antarctic Bottom Water to the formation of the CBW are estimated. The Deep Western Boundary Current in the South Pacific flowing along the western flank of the Southwest Pacific Basin transports northward the lower and middle parts of the LCDW and the upper part of the CBW.</t>
  </si>
  <si>
    <t>Russian Acad Sci, Shirshov Inst Oceanol, Moscow, Russia</t>
  </si>
  <si>
    <t>Russian Academy of Sciences; Shirshov Institute of Oceanology</t>
  </si>
  <si>
    <t>Koshlyakov, MN (corresponding author), Russian Acad Sci, Shirshov Inst Oceanol, Moscow, Russia.</t>
  </si>
  <si>
    <t>Tarakanov, Roman/R-3325-2016</t>
  </si>
  <si>
    <t>Tarakanov, Roman/0000-0002-8711-1859</t>
  </si>
  <si>
    <t>0001-4370</t>
  </si>
  <si>
    <t>1531-8508</t>
  </si>
  <si>
    <t>OCEANOLOGY+</t>
  </si>
  <si>
    <t>Oceanology</t>
  </si>
  <si>
    <t>737XZ</t>
  </si>
  <si>
    <t>WOS:000186258800001</t>
  </si>
  <si>
    <t>Kostianoy, AG; Ginzburg, AI; Lebedev, SA; Frankignoulle, M; Delille, B</t>
  </si>
  <si>
    <t>Fronts and mesoscale variability in the southern Indian Ocean as inferred from the TOPEX/POSEIDON and ERS-2 altimetry data</t>
  </si>
  <si>
    <t>ANTARCTIC CIRCUMPOLAR CURRENT; AGULHAS CURRENT; CYCLONIC EDDY; CIRCULATION; DYNAMICS; ENVIRONMENT; EDDIES; SECTOR</t>
  </si>
  <si>
    <t>Charts of sea level anomalies (SLA) based on the combined altimetry data from the TOPEX/POSEIDON and ERS-2 satellites, as well as the corresponding charts of the sea surface dynamic heights (constructed by the superposition of SLA distributions over the climatic dynamic topography) and the temperature gradients at the ocean surface on the basis of the satellite Multi-Channel Sea Surface Temperature (MCSST) data, were used to study the mesoscale variability related to the fronts in the Southern Indian Ocean (30degrees-60degrees S, 20degrees-150degrees E). An analysis of these three types of satellite information for the central weeks of each month during the period from 1997 to 1999 allowed us to distinguish zones of enhanced meandering (eddy formation) within the basin under study, as well as the contributions of individual fronts and their interaction to the regional mesoscale variability. The problems of the correlation between the intensity of mesoscale variability and peculiarities of the local bottom topography and seasonal/interannual variability of mesoscale dynamics are addressed.</t>
  </si>
  <si>
    <t>Russian Acad Sci, Shirshov Inst Oceanol, Moscow, Russia; Russian Acad Sci, Geophys Ctr, Moscow, Russia; Univ Liege, Chem Oceanog Unit, Liege, Belgium</t>
  </si>
  <si>
    <t>Russian Academy of Sciences; Shirshov Institute of Oceanology; Russian Academy of Sciences; Geophysical Center of the Russian Academy of Sciences; University of Liege</t>
  </si>
  <si>
    <t>Russian Acad Sci, Shirshov Inst Oceanol, Moscow, Russia.</t>
  </si>
  <si>
    <t>kostianoy@online.ru</t>
  </si>
  <si>
    <t>Ginzburg, Anna/F-9405-2014; Lebedev, Sergey A/A-8233-2014; Kostianoy, Andrey/F-9322-2014; Delille, Bruno/C-3486-2008</t>
  </si>
  <si>
    <t>Lebedev, Sergey A/0000-0002-4976-7136; Delille, Bruno/0000-0003-0502-8101</t>
  </si>
  <si>
    <t>WOS:000186258800003</t>
  </si>
  <si>
    <t>Cúneo, NR; Taylor, EL; Taylor, TN; Krings, M</t>
  </si>
  <si>
    <t>In situ fossil forest from the upper Fremouw Formation (Triassic) of Antarctica:: paleoenvironmental setting and paleoclimate analysis</t>
  </si>
  <si>
    <t>plant paleoecology; paleoclimatology; Triassic; Antarctica; tree rings; fossil wood; fossil forest; taphonomy; paleoenvironment</t>
  </si>
  <si>
    <t>CENTRAL TRANSANTARCTIC MOUNTAINS; ALEXANDER ISLAND; LEAF LITTER; NEW-ZEALAND; VEGETATION; CLIMATE; PALEOBOTANY; GYMNOSPERMS; COMMUNITIES; HEIGHT</t>
  </si>
  <si>
    <t>A structural and ecological study of a standing Triassic forest containing 99 silicified trunks from the Fremouw Formation of Antarctica is detailed. Utilizing quantitative methods, forest density, total forest cover per hectare, mean separation of trees, and basal area per stump were obtained. This information, integrated with sedimentologic, taxonomic, fossil wood, and biomechanical data, has allowed the reconstruction of a plant community that grew at very high palcolatitudes (similar to 70-75degreesS). The paleoforest grew along river banks (levees) and within proximal floodplain environments, where a taphocoenosis of permineralized stumps and compression-impression foliage of the Dicroidium type has been preserved. In particular, the intimate association of this leaf type with dense, conifer-like wood provides additional confirmation that the Dicroidium foliage morphotype was attached to several types of stems. This riparian forest stand was apparently in a mature stage prior to the beginning of preservation. Tree ring analysis, as well as additional indirect evidence, indicates that this Middle Triassic ecosystem in Antarctica experienced a season very suitable for plant growth resulting from an overall favorable climatic regime. This conclusion contrasts with earlier paleoclimate models based on physical parameters in which temperature ranges would make plant or animal growth at these latitudes almost impossible. Finally, Antarctic climatic change from latest Permian through Late Triassic is considered in the context of tectonic and paleogeographic reconstructions of the East Antarctic craton. (C) 2003 Elsevier B.V. All rights reserved.</t>
  </si>
  <si>
    <t>Consejo Nacl Invest Cient &amp; Tecn, Museo Paleontol Egidio Feruglio, RA-9100 Trelew, Chubat, Argentina; Univ Kansas, Dept Ecol &amp; Evolutionary Biol, Museum Nat Hist, Lawrence, KS 66045 USA; Univ Kansas, Biodivers Res Ctr, Lawrence, KS 66045 USA; Univ Munster, Abt Palaobot, Geol Palaontol Inst, D-48143 Munster, Germany</t>
  </si>
  <si>
    <t>Consejo Nacional de Investigaciones Cientificas y Tecnicas (CONICET); University of Kansas; University of Kansas; University of Munster</t>
  </si>
  <si>
    <t>Cúneo, NR (corresponding author), Consejo Nacl Invest Cient &amp; Tecn, Museo Paleontol Egidio Feruglio, Av Fontana 140, RA-9100 Trelew, Chubat, Argentina.</t>
  </si>
  <si>
    <t>rcuneo@mef.org.ar; etaylor@ku.edu; tntaylor@ku.edu; krings@uni-muenster.de</t>
  </si>
  <si>
    <t>Krings, Michael/AAM-6436-2020</t>
  </si>
  <si>
    <t>10.1016/S0031-0182(03)00468-1</t>
  </si>
  <si>
    <t>716PJ</t>
  </si>
  <si>
    <t>WOS:000185037300005</t>
  </si>
  <si>
    <t>Hildebrand-Habel, T; Streng, M</t>
  </si>
  <si>
    <t>Calcareous dinoflagellate associations and Maastrichtian-Tertiary climatic change in a high-latitude core (ODP Hole 689B, Maud Rise, Weddell Sea)</t>
  </si>
  <si>
    <t>calcareous dinoflagellates; Cretaceous; Tertiary; climate change; high latitudes</t>
  </si>
  <si>
    <t>SOUTH ATLANTIC-OCEAN; UPPER WATER COLUMN; DSDP SITE 357; MIDDLE EOCENE; QUATERNARY EASTERN; BOUNDARY; PRODUCTIVITY; NANNOFOSSIL; EVOLUTION; OLIGOCENE</t>
  </si>
  <si>
    <t>The distribution of calcareous dinoflagellates has been analysed for the Maastrichtian-Miocene interval of Ocean Drilling Project Hole 689B (Maud Rise, Weddell Sea). The investigation thus represents a primary evaluation of the long-term evolution in high-latitude calcareous dinoflagellate assemblages during the transition from a relatively warm Late Cretaceous to a cold Neogene climate. Major assemblage changes during this interval occurred in characteristic steps: (1) an increase in relative abundance of tangentially structured species - particularly Operculodinella operculata - at the Cretaceous/Tertiary boundary; (2) a diversity decrease and several first and last appearances across the Middle-Late Eocene boundary, possibly attributed to increased climate cooling; (3) a diversity decrease associated with the dominance of Calciodinellum levantinum in the late Early Oligocene; (4) the reappearance and dominance of Pirumella edgarii in the Early Miocene, probably reflecting a warming trend; (5) monogeneric assemblages dominated by Caracomia spp. denoting strong Middle Miocene cooling. The results not only extend the biogeographic ranges of many taxa into the Antarctic region, but also indicate that the evolution of high-latitude calcareous dinoflagellate assemblages parallels the changing environmental conditions in the course of the Cenozoic climate transition. Therefore, calcareous dinoflagellates contribute to our understanding of the biotic effects associated with palaeoenvironmental changes and might possess the potential for reconstructing past conditions. The flora in the core includes one new taxon: Caracomia arctica forma spinosa Hildebrand-Habel and Streng, forma nor. Additionally, two new combinations are proposed: Fuettererella deflandrei (Kamptner, 1956) Hildebrand-Habel and Streng, comb. nor. and Fuettererella flora (Futterer, 1990) Hildebrand-Habel and Streng, comb. nov. (C) 2003 Elsevier B.V. All rights reserved.</t>
  </si>
  <si>
    <t>Univ Oslo, Dept Geol, N-0316 Oslo, Norway; Univ Bremen, Dept Geol, D-28334 Bremen, Germany</t>
  </si>
  <si>
    <t>University of Oslo; University of Bremen</t>
  </si>
  <si>
    <t>Hildebrand-Habel, T (corresponding author), Univ Oslo, Dept Geol, POB 1047, N-0316 Oslo, Norway.</t>
  </si>
  <si>
    <t>hiha@geologi.uio.no</t>
  </si>
  <si>
    <t>Hildebrand-Habel, Tania/F-3590-2011</t>
  </si>
  <si>
    <t>Hildebrand-Habel, Tania/0000-0003-3330-8418</t>
  </si>
  <si>
    <t>10.1016/S0031-0182(03)00470-X</t>
  </si>
  <si>
    <t>WOS:000185037300007</t>
  </si>
  <si>
    <t>Bailey, DM; Peck, LS; Bock, C; Pörtner, HO</t>
  </si>
  <si>
    <t>High-energy phosphate metabolism during exercise and recovery in temperate and antarctic scallops:: An in vivo 31P-NMR study</t>
  </si>
  <si>
    <t>PHYSIOLOGICAL AND BIOCHEMICAL ZOOLOGY</t>
  </si>
  <si>
    <t>JUVENILE SEA SCALLOPS; PLACOPECTEN-MAGELLANICUS (GMELIN); ASTERIAS-VULGARIS VERRILL; VALVE CLOSURE RESPONSES; CHLAMYS-OPERCULARIS L; HUMAN SKELETAL-MUSCLE; CANCER-IRRORATUS SAY; ESCAPE RESPONSES; ADDUCTOR MUSCLE; PECTEN-MAXIMUS</t>
  </si>
  <si>
    <t>In vivo P-31-nuclear magnetic resonance (NMR) spectroscopy was used to measure the levels of ATP, phospho-L-arginine (PLA), and inorganic phosphate in the adductor muscle of the Antarctic scallop Adamussium colbecki and two temperate species, Aequipecten opercularis and Pecten maximus. Graded exercise regimes from light (one to two contractions) to exhausting (failing to respond to further stimulation) were imposed on animals of each species at its habitat temperature (0degrees vs. 12degreesC, respectively). NMR spectroscopy allowed noninvasive measurement of metabolite levels and intracellular pH at high time resolution (30-120-s intervals) during exercise and throughout the recovery period. Significant differences were shown between the magnitude and form of the metabolic response with increasing levels of exercise in each species. After exhaustion, short-term (first 15 min) muscle alkalosis was followed by acidosis of up to 0.2 pH units during the recovery process. Aequipecten opercularis had similar resting muscle PLA levels compared with either P. maximus or A. colbecki but used a fivefold greater proportion of this store per contraction and was able to perform only half as many claps (maximum of 24) as the other species before exhaustion. All species regenerated their PLA store at a similar rate despite different environmental temperatures. These findings argue for some cold compensation of muscular performance and recovery capacities in the Ant-arctic scallop, albeit at levels of performance similar to scallops with low activity lifestyles from temperate latitudes.</t>
  </si>
  <si>
    <t>Univ St Andrews, Gatty Marine Lab, St Andrews KY16 8LB, Fife, Scotland; British Antarctic Survey, Div Biol Sci, Cambridge CB3 0ET, England; Alfred Wegener Inst Polar &amp; Marine Res, D-27515 Bremerhaven, Germany</t>
  </si>
  <si>
    <t>University of St Andrews; UK Research &amp; Innovation (UKRI); Natural Environment Research Council (NERC); NERC British Antarctic Survey; Helmholtz Association; Alfred Wegener Institute, Helmholtz Centre for Polar &amp; Marine Research</t>
  </si>
  <si>
    <t>Bailey, DM (corresponding author), Univ Aberdeen, Oceanlab, Newburgh AB41 6AA, Aberdeen, Scotland.</t>
  </si>
  <si>
    <t>Pörtner, Hans-O./ISU-9397-2023; Pörtner, Hans-O./K-9429-2016; Bock, Christian/B-4421-2017; Bailey, David/A-6240-2008</t>
  </si>
  <si>
    <t>Pörtner, Hans-O./0000-0001-6535-6575; Bock, Christian/0000-0003-0052-3090; Bailey, David/0000-0002-0824-8823</t>
  </si>
  <si>
    <t>UNIV CHICAGO PRESS</t>
  </si>
  <si>
    <t>CHICAGO</t>
  </si>
  <si>
    <t>1427 E 60TH ST, CHICAGO, IL 60637-2954 USA</t>
  </si>
  <si>
    <t>1522-2152</t>
  </si>
  <si>
    <t>PHYSIOL BIOCHEM ZOOL</t>
  </si>
  <si>
    <t>Physiol. Biochem. Zool.</t>
  </si>
  <si>
    <t>10.1086/376920</t>
  </si>
  <si>
    <t>756YY</t>
  </si>
  <si>
    <t>WOS:000187514400003</t>
  </si>
  <si>
    <t>Lippert, H; Brinkmeyer, R; Mülhaupt, T; Iken, K</t>
  </si>
  <si>
    <t>Antimicrobial activity in sub-Arctic marine invertebrates</t>
  </si>
  <si>
    <t>SPONGE HALICLONA SP; CARIBBEAN GORGONIAN CORALS; ANTARCTIC SOFT CORALS; CHEMICAL DEFENSE; ALKALOIDS; EXTRACTS; BACTERIOPLANKTON; BACTERIA; TOXICITY; SEA</t>
  </si>
  <si>
    <t>In the marine environment, any living or non-living surface is exposed to bacterial colonization. Many invertebrate species in temperate, tropical and Antarctic regions have demonstrated chemical defences against the formation of microbial films. In the present study, the antimicrobial activity of sub-Arctic invertebrates was investigated for the first time. Crude extracts of abundant invertebrates belonging to several taxonomic groups were tested for their inhibitory effects on the growth of five sympatric phylogenetically diverse bacterial strains. Six out of 18 (33%) crude extracts inhibited bacterial growth at natural extract concentrations. The crude extract of the sponge Haliclona viscosa inhibited growth of all five bacterial strains, suggesting the presence of metabolites with broad-spectrum activity. Three active compounds were isolated from H. viscosa having antibacterial properties similar to those of the crude extract. Our data indicate that antibacterial secondary metabolites are present in sub-Arctic marine invertebrates but are less abundant than in temperate, tropical or Antarctic species.</t>
  </si>
  <si>
    <t>Alfred Wegener Inst Polar &amp; Marine Res, D-27568 Bremerhaven, Germany; Univ Munich, Dept Chem, D-81377 Munich, Germany; Univ Alaska Fairbanks, Inst Marine Sci, Fairbanks, AK 99775 USA</t>
  </si>
  <si>
    <t>Helmholtz Association; Alfred Wegener Institute, Helmholtz Centre for Polar &amp; Marine Research; University of Munich; University of Alaska System; University of Alaska Fairbanks</t>
  </si>
  <si>
    <t>Lippert, H (corresponding author), Alfred Wegener Inst Polar &amp; Marine Res, Columbusstr, D-27568 Bremerhaven, Germany.</t>
  </si>
  <si>
    <t>hlippert@awi-bremerhaven.de</t>
  </si>
  <si>
    <t>10.1007/s00300-003-0525-9</t>
  </si>
  <si>
    <t>715CT</t>
  </si>
  <si>
    <t>WOS:000184953500004</t>
  </si>
  <si>
    <t>Choi, HJ; Ahn, IY; Kim, KW; Lee, YS; Lee, IS; Jeong, KH</t>
  </si>
  <si>
    <t>Subcellular accumulation of Cu in the Antarctic bivalve Laternula elliptica from a naturally Cu-elevated bay of King George Island</t>
  </si>
  <si>
    <t>CLAM RUDITAPES DECUSSATUS; METAL CONCENTRATIONS; DIGESTIVE GLAND; MACOMA-BALTHICA; TRACE-METALS; WESTERSCHELDE ESTUARY; CRASSOSTREA-GIGAS; DIFFERENT TISSUES; CADMIUM; COPPER</t>
  </si>
  <si>
    <t>Subcellular Cu sequestration was examined in the digestive gland, kidney and gill of the Antarctic bivalve Laternula elliptica collected from a Cu-elevated bay in King George Island. Cu was associated with both the soluble cytosolic and insoluble particulate cell fractions in all three organs, but their relative contributions to Cu sequestration varied with tissue type and the total amount of Cu accumulated. Low-molecular-weight (10-13 kDa) metallothionein-like proteins were the major Cu-binding ligands in the cytosol of all three organs. Significant portions of the cytosolic Cu were also bound to proteins with different molecular weights in the kidney and gill. A strong immunological response to a metallothionein (MT) antibody confirmed the presence of MTs in all three organs. Numerous electron-dense granules, which are likely to be metal-rich, were observed in renal epithelial cells by transmission electron microscopy, suggesting that these granules also play a role in Cu sequestration.</t>
  </si>
  <si>
    <t>Korea Ocean Res &amp; Dev Inst, Polar Sci Lab, Seoul 425600, South Korea; Soonchunhyang Univ, Dept Life Sci, Shinchang Myun 336190, Asan, South Korea; Ewha Womans Univ, Dept Biol, Seoul 125700, South Korea</t>
  </si>
  <si>
    <t>Korea Institute of Ocean Science &amp; Technology (KIOST); Soonchunhyang University; Ewha Womans University</t>
  </si>
  <si>
    <t>Korea Ocean Res &amp; Dev Inst, Polar Sci Lab, POB 29, Seoul 425600, South Korea.</t>
  </si>
  <si>
    <t>hschoi@kordi.re.kr</t>
  </si>
  <si>
    <t>LEE, YONGSEOK/AAF-3965-2020</t>
  </si>
  <si>
    <t>Lee, Yong Seok/0000-0002-8687-589X</t>
  </si>
  <si>
    <t>10.1007/s00300-003-0529-5</t>
  </si>
  <si>
    <t>WOS:000184953500005</t>
  </si>
  <si>
    <t>La Mesa, M; Caputo, V; Rampa, R; Vacchi, M</t>
  </si>
  <si>
    <t>Macroscopic and histological analyses of gonads during the spawning season of Chionodraco hamatus (Pisces, Channichthyidae) off Terra Nova Bay, Ross Sea, Southern Ocean</t>
  </si>
  <si>
    <t>ANTARCTIC FISHES; OVARIAN DEVELOPMENT; WEDDELL-SEA; REPRODUCTION; MATURITY; TELEOSTS; ICEFISH</t>
  </si>
  <si>
    <t>A macroscopic and histological analysis of gonads was carried out during the spawning season of the high-Antarctic channichthyid Chionodraco hamatus in the western Ross Sea. Samples were collected between December and February during several years in the coastal waters of Terra Nova Bay. Gonad maturity stages were described for males and females according to macroscopic and histological scales. Using multi-year data, the estimated length at first spawning of females was about 35 cm TL, very similar to that obtained indirectly for males. Similar to many other high-Antarctic fish, C. hamatus is a summer spawner. The greater part of the stock was indeed in spawning condition between December and February, although a large proportion of females large enough to spawn probably did not spawn in that season. The present data confirm that C. hamatus, as is typical for Antarctic fish, probably spawns a single batch of oocytes once a year. In addition, vitellogenesis is a slow process that extends over at least 1 year. Discrepancies between the macroscopic and histological appearance of gonads were found. These were associated mainly with spent and resting females (maturity stages 5 and 2, respectively). This study demonstrates the importance of histological analysis of gonads in order to confirm the results of the macroscopic analyses routinely carried out in studies of reproductive biology. This is of particular importance in determining size at maturity and spawning stock biomass, for assessment purposes.</t>
  </si>
  <si>
    <t>CNR, ISMAR, Ist Sci Marine, Sez Pesca Marittima, I-60125 Ancona, Italy; Univ Ancona, Ist Biol &amp; Genet, I-60100 Ancona, Italy; Ist Cent Ric Sci &amp; Tecnol Applicata Mare, ICRAM, I-00166 Rome, Italy</t>
  </si>
  <si>
    <t>Consiglio Nazionale delle Ricerche (CNR); Istituto di Scienze Marine (ISMAR-CNR); Marche Polytechnic University</t>
  </si>
  <si>
    <t>La Mesa, M (corresponding author), CNR, ISMAR, Ist Sci Marine, Sez Pesca Marittima, Largo Fiera Pesca, I-60125 Ancona, Italy.</t>
  </si>
  <si>
    <t>10.1007/s00300-003-0519-7</t>
  </si>
  <si>
    <t>WOS:000184953500007</t>
  </si>
  <si>
    <t>Wendt, AS; Vidal, O; Chadderton, LT</t>
  </si>
  <si>
    <t>The effect of simultaneous temperature, pressure and stress on the experimental annealing of spontaneous fission tracks in apatite: a brief overview</t>
  </si>
  <si>
    <t>RADIATION MEASUREMENTS</t>
  </si>
  <si>
    <t>21st International Conference on Nuclear Tracks in Solids (ICNTS-21)</t>
  </si>
  <si>
    <t>OCT 21-25, 2002</t>
  </si>
  <si>
    <t>NEW DELHI, INDIA</t>
  </si>
  <si>
    <t>apatite temperature; pressure; stress; fission track annealing; geothermometry</t>
  </si>
  <si>
    <t>DEPENDENCE; MECHANISMS; DIFFUSION</t>
  </si>
  <si>
    <t>Tracks made in minerals by the electronic stopping Of uranium fission fragments provide a modern geological dating tool, and are believed also to yield specific information on the low-temperature thermal history of rocks. Experimental work showing that the damaged crystal lattice along a fission track recovers primarily as a function of temperature ignored the fact that the basic theory of atomic diffusion requires an exponential decrease in the intrinsic diffusion coefficient with increasing pressure. Here, fission track recovery was experimentally investigated in basic apatite under the simultaneous influences of temperature, pressure and stress. We show that track facing is a complex recovery mechanism responding to several environmental physical parameters simultaneously. In particular a strong decrease in the track recovery rate was observed as a function of increasing pressure. And a nearly temperature-independent recovery was observed in samples Under stress. (C) 2003 Elsevier Ltd. All rights reserved.</t>
  </si>
  <si>
    <t>British Antarctic Survey, Geol Sci Div, Cambridge CB3 0ET, England; Univ Grenoble 1, LGCA Maison Geosci, F-38041 Grenoble 09, France; Australian Natl Univ, Res Sch Phys Sci &amp; Engn, Inst Adv Studies, Atom &amp; Mol Phys Labs, Canberra, ACT 0020, Australia</t>
  </si>
  <si>
    <t>UK Research &amp; Innovation (UKRI); Natural Environment Research Council (NERC); NERC British Antarctic Survey; Communaute Universite Grenoble Alpes; Universite Grenoble Alpes (UGA); Australian National University</t>
  </si>
  <si>
    <t>Wendt, AS (corresponding author), British Antarctic Survey, Geol Sci Div, HIgh Cross,Madingley Rd, Cambridge CB3 0ET, England.</t>
  </si>
  <si>
    <t>aswe@bas.ac.uk</t>
  </si>
  <si>
    <t>1350-4487</t>
  </si>
  <si>
    <t>RADIAT MEAS</t>
  </si>
  <si>
    <t>Radiat. Meas.</t>
  </si>
  <si>
    <t>1-6</t>
  </si>
  <si>
    <t>SI</t>
  </si>
  <si>
    <t>10.1016/S1350-4487(03)00148-3</t>
  </si>
  <si>
    <t>Nuclear Science &amp; Technology</t>
  </si>
  <si>
    <t>724TU</t>
  </si>
  <si>
    <t>WOS:000185503400061</t>
  </si>
  <si>
    <t>Bustamante, P; Bocher, P; Chérel, Y; Miramand, P; Caurant, F</t>
  </si>
  <si>
    <t>Distribution of trace elements in the tissues of benthic and pelagic fish from the Kerguelen Islands</t>
  </si>
  <si>
    <t>SCIENCE OF THE TOTAL ENVIRONMENT</t>
  </si>
  <si>
    <t>antarctic; heavy metals; Cd-enrichment; myctophidae</t>
  </si>
  <si>
    <t>HEAVY-METALS; ANTARCTIC FISH; CADMIUM; MERCURY; OCEAN; SEA; CRUSTACEANS; ORGANISMS; SEABIRDS; WATERS</t>
  </si>
  <si>
    <t>New information on the concentrations of Cd, Cu, Hg and Zn in the liver, kidney and muscles of eight marine bethic and pelagic sub-Antarctic fish species are presented to determine the importance of these metals in the marine systems of the Kerguelen Islands. Compared to the reported metal concentrations in other Antarctic fish species, the present results are globally within the same range of concentrations, although Cd displayed a very high interspecific variability in liver and kidney. Indeed, the highest Cd concentrations in liver, ranging from 10.0 to 52.1 mug g(-1) dry wt. but also the lowest Cd concentrations in muscles (&lt;0.030 mug g(-1) dry wt.) have been displayed by the pelagic Myctophidae Gymnoscopelus piabilis. Metal concentrations differences might be related to diet and feeding habits of benthic and pelagic fish species. However, Cd and Hg concentrations in the edible muscle are lower than the French limit values (less than or equal to0.155 mug Cd g(-1) dry wt. and less than or equal to1.51 mug Hg g(-1) dry wt.) for these toxic metals as well as for edible and non-commercially interesting fish species. Results for Cd in fish tissues are consistent with the hypothesis of Cd-enrichment in the polar food webs typically explained by essential elements depletion. In fact, Zn concentrations in fish from the Kerguelen Islands are comparable to those of other areas but low Cu concentrations in fish livers, ranging from 0.9 to 24.7 mug g(-1) dry wt., might indicate low availability of this essential element in these sub-Antarctic waters. (C) 2003 Elsevier Science B.V. All rights reserved.</t>
  </si>
  <si>
    <t>Univ La Rochelle, UPRES EA 3168, Lab Biol &amp; Environm Marins, F-17042 La Rochelle, France; Ctr Etud Biol Chize, UPR 4701, CNRS, F-79360 Villiers En Bois, France</t>
  </si>
  <si>
    <t>La Rochelle Universite; Centre National de la Recherche Scientifique (CNRS)</t>
  </si>
  <si>
    <t>Bustamante, P (corresponding author), Univ La Rochelle, UPRES EA 3168, Lab Biol &amp; Environm Marins, 22 Ave Michel Crepeau, F-17042 La Rochelle, France.</t>
  </si>
  <si>
    <t>Bustamante, Paco/G-5833-2011</t>
  </si>
  <si>
    <t>Bustamante, Paco/0000-0003-3877-9390</t>
  </si>
  <si>
    <t>0048-9697</t>
  </si>
  <si>
    <t>SCI TOTAL ENVIRON</t>
  </si>
  <si>
    <t>Sci. Total Environ.</t>
  </si>
  <si>
    <t>10.1016/S0048-9697(03)00265-1</t>
  </si>
  <si>
    <t>Environmental Sciences</t>
  </si>
  <si>
    <t>Environmental Sciences &amp; Ecology</t>
  </si>
  <si>
    <t>714TH</t>
  </si>
  <si>
    <t>WOS:000184929200003</t>
  </si>
  <si>
    <t>Ehrmann, W; Bloemendal, J; Hambrey, MJ; McKelvey, B; Whitehead, J</t>
  </si>
  <si>
    <t>Variations in the composition of the clay fraction of the Cenozoic Pagodroma Group, East Antarctica: implications for determining provenance</t>
  </si>
  <si>
    <t>SEDIMENTARY GEOLOGY</t>
  </si>
  <si>
    <t>East Antarctic ice sheet; Pagodroma Group; cenozoic glaciomarine sediments; clay minerals; provenance</t>
  </si>
  <si>
    <t>PRINCE-CHARLES-MOUNTAINS; FLAGSTONE BENCH FORMATION; BAINMEDART COAL MEASURES; ICE-SHEET; REVISED STRATIGRAPHY; MINERAL ASSEMBLAGES; AMERY OASIS; GLACIER; SEDIMENTATION; OCEAN</t>
  </si>
  <si>
    <t>The Cenozoic Pagodroma Group in the northern Prince Charles Mountains, East Antarctica, is a glaciomarine succession of fjordal character. comprising four uplifted formations of different ages. The composition of the &lt; 2 mum fraction of sediments of the Pagodroma Group was analysed in order to help identify source areas, past weathering conditions and glacial regimes. Both clay and non-clay minerals have been quantified. The assemblage of the upper Oligocene to lower Miocene Mount Johnston Formation is characterised by the dominance of illite and intermediate concentrations of chlorite. Similar to that assemblage is the clay mineral suite of the middle Miocene Fisher Bench Formation, where illite and chlorite together account for 95% of the clay minerals. The middle to upper Miocene Battye Glacier Formation is the only formation with significant and persistent smectite concentrations, although illite is still dominant. The kaolinite concentration is also high and is even higher than that of chlorite. The clay fraction of the upper Pliocene to lower Pleistocene Bardin Bluffs Formation is characterised by maximum kaolinite concentrations and relatively low illite and chlorite concentrations. The bulk of the clay fraction in each formation can be explained by the physical weathering and erosion of a nearby source under glacial conditions. In the case of Mount Johnston Formation and Fisher Bench Formation this source may be situated in the metavolcanic and gneissic rocks of Fisher Massif. The sediments of the Bardin Bluffs Formation indicate a local source within the Amen, Oasis, where Proterozoic granitoid rocks and gneisses, and Permo-Triassic fluvial rocks of the Amery Group are exposed. These results suggest a strong local imprint on the glacial sediments as northwards flowing ice eroded the bedrock in these areas.</t>
  </si>
  <si>
    <t>Univ Leipzig, Inst Geophys &amp; Geol, D-04103 Leipzig, Germany; Univ Liverpool, Dept Geog, Liverpool L69 3BX, Merseyside, England; Univ Wales, Ctr Glaciol, Inst Geog &amp; Earth Sci, Aberystwyth SY23 3DB, Ceredigion, Wales; Univ New England, Div Earth Sci, Sch Environm Sci &amp; Nat Resources Management, Armidale, NSW 2351, Australia; Univ Nebraska, Dept Geosci, Lincoln, NE 68588 USA; Univ Tasmania, Antartic Cooperat Res Ctr, Hobart, Tas 7001, Australia; Univ Tasmania, Inst Antarctic &amp; So Ocean Studies, Hobart, Tas 7001, Australia</t>
  </si>
  <si>
    <t>Leipzig University; University of Liverpool; Aberystwyth University; University of New England; University of Nebraska System; University of Nebraska Lincoln; University of Tasmania; University of Tasmania</t>
  </si>
  <si>
    <t>Ehrmann, W (corresponding author), Univ Leipzig, Inst Geophys &amp; Geol, Talstr 35, D-04103 Leipzig, Germany.</t>
  </si>
  <si>
    <t>0037-0738</t>
  </si>
  <si>
    <t>SEDIMENT GEOL</t>
  </si>
  <si>
    <t>Sediment. Geol.</t>
  </si>
  <si>
    <t>10.1016/S0037-0738(03)00069-1</t>
  </si>
  <si>
    <t>717TR</t>
  </si>
  <si>
    <t>WOS:000185107000008</t>
  </si>
  <si>
    <t>Cuthbert, RJ; Phillips, RA; Ryan, PG</t>
  </si>
  <si>
    <t>Separating the Tristan Albatross and the Wandering Albatross using morphometric measurements</t>
  </si>
  <si>
    <t>WATERBIRDS</t>
  </si>
  <si>
    <t>Diomedea dabbenena; Diomedea exulans; discriminant analysis; Tristan Albatross; Wandering Albatross</t>
  </si>
  <si>
    <t>LONG-LINE FISHERIES; DIOMEDEA-EXULANS; POPULATION-DYNAMICS; MATURATION; MORTALITY; PLUMAGE; ISLAND; MOLT; SEX</t>
  </si>
  <si>
    <t>Recent taxonomic revisions off the Wandering Albatross sensu lato resulted in four separate species, the rarest of which is the Tristan Albatross (Diomedea dabbenena). We present the first detailed morphometric measurements of the male and female of the Tristan Albatross. The results are used to separate this species from the more common nominate taxon of Wandering Albatross (Diomedea exulans) frorn South Georgia. The Tristan Albatross is smaller than the Wandering Albatross in all measured variables, and males are larger than females in both species. A combination of bill measurements discriminated 97-98% of individuals of the two species, and tarsus and bill measurements allowed the sex of birds from both species to be determined. If the sex of the bird is known, then bill length should identify all individuals to species. This result is useful to allow fishery observers to correctly identity albatrosses killed on longlines in the Atlantic Ocean. However, care has to be taken outside this region, because the Tristan Albatross is very similar in size to published measurements of Gibson's Albatross (Diomedea gibsoni) and the Antipodes Albatross (Diomedea antipodensis), both of which breed off New Zealand and are thought to range across the South Pacific Ocean.</t>
  </si>
  <si>
    <t>Royal Soc Protect Birds, Sandy SG19 2DL, Beds, England; British Antarctic Survey, NERC, Cambridge CB3 0ET, England; Univ Cape Town, Percy Fitzpatrick Inst African Ornithol, ZA-7701 Rondebosch, South Africa</t>
  </si>
  <si>
    <t>Royal Society for Protection of Birds; UK Research &amp; Innovation (UKRI); Natural Environment Research Council (NERC); NERC British Antarctic Survey; University of Cape Town</t>
  </si>
  <si>
    <t>Macaulay Land Use Res Inst, Aberdeen AB15 8QH, Scotland.</t>
  </si>
  <si>
    <t>richard_cuthbert@yahoo.co.uk</t>
  </si>
  <si>
    <t>WATERBIRD SOC</t>
  </si>
  <si>
    <t>NATL MUSEUM NATURAL HISTORY SMITHSONIAN INST, WASHINGTON, DC 20560 USA</t>
  </si>
  <si>
    <t>1524-4695</t>
  </si>
  <si>
    <t>1938-5390</t>
  </si>
  <si>
    <t>Waterbirds</t>
  </si>
  <si>
    <t>10.1675/1524-4695(2003)026[0338:STTAAT]2.0.CO;2</t>
  </si>
  <si>
    <t>Ornithology</t>
  </si>
  <si>
    <t>731DK</t>
  </si>
  <si>
    <t>WOS:000185869100011</t>
  </si>
  <si>
    <t>Punta, G; Yorio, P; Herrera, G</t>
  </si>
  <si>
    <t>Temporal patterns in the diet and food partitioning in imperial cormorants (Phalacrocorax atriceps) and rock shags (P-magellanicus) breeding at Bahia Bustamante, Argentina</t>
  </si>
  <si>
    <t>WILSON BULLETIN</t>
  </si>
  <si>
    <t>FORAGING BEHAVIOR; FEEDING LOCATIONS; DIVING BEHAVIOR; ANTARCTIC SHAG; SOUTH-GEORGIA; MARION-ISLAND; SEABIRDS; PATAGONIA; COMMUNITY; COLONY</t>
  </si>
  <si>
    <t>We studied the diet of Imperial Cormorants (Phalacrocorax atriceps) and Rock Shags (P. magellanicus) at Bahia Bustamante, Argentina, between 1992 and 1994. We analyzed pellet casts (1887 from Imperial Cormorants and 799 from Rock Shags) and regurgitations of stomach contents (260 from Imperial Cormorants and 24 from Rock Shags). Imperial Cormorants and Rock Shags fed on at least 22 and 21 different types of prey, respectively. The main prey species during all study years were fish: Engraulis anchoita for Imperial Cormorants and Patagonothen sp. for Rock Shags. For both species, the consumption of the main food categories as estimated by pellet analyis was similar among years. A significant relationship was found between Imperial Cormorant and Rock Shag diets during the three years, while the diet overlap index was relatively high. During all years, Imperial Cormorants consumed a significantly larger proportion of pelagic or demersal fish than did Rock Shags, while Rock Shags consumed benthic fish in a greater proportion than did Imperial Cormorants. Mean maximum diving depth, determined using capillary tube depth gauges, of Imperial Cormorants (24.4 m +/- 18.8 SD) was significantly greater but more variable than that of Rock Shags (9.3 m +/- 4.1 SD).</t>
  </si>
  <si>
    <t>Consejo Nacl Invest Cient &amp; Tecn, Ctr Nacl Patagon, RA-9120 Puerto Madryn, Chubut, Argentina; Wildlife Conservat Soc, RA-9120 Puerto Madryn, Chubut, Argentina; Direcc Gen Intereses Maritimos &amp; Pesca Continenta, RA-9103 Rawson, Chubut, Argentina</t>
  </si>
  <si>
    <t>Centro Nacional Patagonico (CENPAT); Consejo Nacional de Investigaciones Cientificas y Tecnicas (CONICET)</t>
  </si>
  <si>
    <t>Consejo Nacl Invest Cient &amp; Tecn, Ctr Nacl Patagon, Blvd Brown S-N 9120, RA-9120 Puerto Madryn, Chubut, Argentina.</t>
  </si>
  <si>
    <t>yorio@cenpat.edu.ar</t>
  </si>
  <si>
    <t>WILSON ORNITHOLOGICAL SOC</t>
  </si>
  <si>
    <t>5400 BOSQUE BLVD, STE 680, WACO, TX 76710 USA</t>
  </si>
  <si>
    <t>0043-5643</t>
  </si>
  <si>
    <t>WILSON BULL</t>
  </si>
  <si>
    <t>Wilson Bull.</t>
  </si>
  <si>
    <t>10.1676/02-119</t>
  </si>
  <si>
    <t>806VR</t>
  </si>
  <si>
    <t>Green Submitted, Green Published</t>
  </si>
  <si>
    <t>WOS:000220461900013</t>
  </si>
  <si>
    <t>Collins, MA</t>
  </si>
  <si>
    <t>The genus Grimpoteuthis (Octopoda: Grimpoteuthidae) in the north-east Atlantic, with descriptions of three new species</t>
  </si>
  <si>
    <t>ZOOLOGICAL JOURNAL OF THE LINNEAN SOCIETY</t>
  </si>
  <si>
    <t>Cirrata; deep-sea; Octopoda; Opisthoteuthidae</t>
  </si>
  <si>
    <t>CIRRATE OCTOPODS; MOLLUSCA; CEPHALOPODA</t>
  </si>
  <si>
    <t>The systematics and distribution of the cirrate octopod genus Grimpoteuthis in the north-east Atlantic are reviewed. Three new species are described and Grimpoteuthis wuelkeri (Grimpe, 1920) is redescribed. A new generic diagnosis is proposed. Five species of Grimpoteuthis are recognized in the north-east Atlantic. The type species, G. umbellata (Fisher, 1883) is known only from the type specimen, which is in such poor condition that comparison with recently captured material was not possible. G. wuelkeri is a large, slope species, caught between 1600 in and 2200 in in the north-east and north-west Atlantic. Of the three new species, both G. boylei and G. challengeri are large abyssal species. G. boylei is found in the north-east Atlantic at the Porcupine Abyssal Plain (PAP) and the Madeira Abyssal Plain and may be found at abyssal depths throughout the north-east Atlantic. G. challengeri is known from the PAP, with a single specimen from the north-west Atlantic. G. discoveryi is a small, lower slope and abyssal species found in the north-east Atlantic. The Grimpoteuthis species can be separated based on shell form, presence of a radula and posterior salivary glands, arrangement of suckers and cirri and gill morphology. Two species, G. megaptera Verrill and G. plena Verrill, have been described from the north-west Atlantic, but the types are either lost (G. megaptera) or in poor condition (G. plena), hindering comparisons. Material examined from the north-west Atlantic included G. wuelkeri, G. challengeri and at least two other species. (C) 2003 The Linnean Society of London.</t>
  </si>
  <si>
    <t>Univ Aberdeen, Dept Zool, Aberdeen AB24 2TZ, Scotland</t>
  </si>
  <si>
    <t>University of Aberdeen</t>
  </si>
  <si>
    <t>British Antarctic Survey, NERC, High Cross,Madingly Rd, Cambridge CB3 0ET, England.</t>
  </si>
  <si>
    <t>macol@bas.ac.uk</t>
  </si>
  <si>
    <t>Collins, Martin A/J-8560-2017; , Martin/ABE-6728-2020</t>
  </si>
  <si>
    <t>, Martin/0000-0001-7132-8650</t>
  </si>
  <si>
    <t>0024-4082</t>
  </si>
  <si>
    <t>1096-3642</t>
  </si>
  <si>
    <t>ZOOL J LINN SOC-LOND</t>
  </si>
  <si>
    <t>Zool. J. Linn. Soc.</t>
  </si>
  <si>
    <t>10.1046/j.1096-3642.2003.00074.x</t>
  </si>
  <si>
    <t>772KB</t>
  </si>
  <si>
    <t>Bronze, Green Accepted, Green Published</t>
  </si>
  <si>
    <t>WOS:000188840200004</t>
  </si>
  <si>
    <t>Meredith, NP; Horne, RB; Thorne, RM; Anderson, RR</t>
  </si>
  <si>
    <t>Favored regions for chorus-driven electron acceleration to relativistic energies in the Earth's outer radiation belt</t>
  </si>
  <si>
    <t>WHISTLER-MODE CHORUS; ZONE ELECTRONS; MAGNETIC STORM; INNER MAGNETOSPHERE; RESONANT DIFFUSION; GEOMAGNETIC STORMS; EMIC WAVES; MAIN-PHASE; OCTOBER 9; PRECIPITATION</t>
  </si>
  <si>
    <t>[1] Pitch angle and energy diffusion rates for scattering by whistler-mode chorus waves are proportional to the wave magnetic field intensity and are strongly dependent on the frequency distribution of the waves and to the ratio between the electron plasma frequency (f(pe)) and the electron gyrofrequency (f(ce)). Relativistic electrons interact most readily with lower-band chorus (0.1 &lt; f/f(ce) &lt; 0.5) and energy diffusion leading to local acceleration to relativistic energies is most effective in regions of low f(pe)/f(ce). We perform statistical studies of CRRES data and show that, outside of the plasmapause, both f(pe)/f(ce) and lower-band chorus activity are dependent on magnetic activity with regions of low f(pe)/ fce and enhanced lower-band chorus activity occurring over a wide range of geospace during active conditions (AE &gt; 300 nT). Enhanced waves in these regions could play a major role in electron acceleration to relativistic energies during periods of prolonged substorm activity.</t>
  </si>
  <si>
    <t>Univ Iowa, Dept Phys &amp; Astron, Iowa City, IA 52242 USA; British Antarctic Survey, NERC, Cambridge CB3 0ET, England; UCL, Mullard Space Sci Lab, Dorking RH5 6NT, Surrey, England; Univ Calif Los Angeles, Dept Atmospher Sci, Los Angeles, CA 90095 USA</t>
  </si>
  <si>
    <t>University of Iowa; UK Research &amp; Innovation (UKRI); Natural Environment Research Council (NERC); NERC British Antarctic Survey; University of London; University College London; University of California System; University of California Los Angeles</t>
  </si>
  <si>
    <t>Univ Iowa, Dept Phys &amp; Astron, Iowa City, IA 52242 USA.</t>
  </si>
  <si>
    <t>npm@mssl.ucl.ac.uk; r.horne@bas.ac.uk; rmt@atmos.ucla.edu; roger-r-anderson@uiowa.edu</t>
  </si>
  <si>
    <t>Horne, Richard B/U-3764-2019; Meredith, Nigel P/C-5806-2018</t>
  </si>
  <si>
    <t>Horne, Richard B/0000-0002-0412-6407; Meredith, Nigel/0000-0001-5032-3463</t>
  </si>
  <si>
    <t>AUG 30</t>
  </si>
  <si>
    <t>10.1029/2003GL017698</t>
  </si>
  <si>
    <t>720FL</t>
  </si>
  <si>
    <t>WOS:000185250700004</t>
  </si>
  <si>
    <t>Spang, R; Remedios, JJ</t>
  </si>
  <si>
    <t>Observations of a distinctive infra-red spectral feature in the atmospheric spectra of polar stratospheric clouds measured by the CRISTA instrument</t>
  </si>
  <si>
    <t>NITRIC-ACID TRIHYDRATE; DEHYDRATION; DATASET; VORTEX; HNO3</t>
  </si>
  <si>
    <t>[1] Polar stratospheric cloud particles (PSCs) are known to strongly influence the infra-red emission spectrum of the lower stratosphere in cold polar winters. The characteristics of these infra-red features have been examined using limb sounding spectra recorded by the CRISTA experiment in August 1997 when many Antarctic PSCs were observed. A distinctive spectral feature centered at 820 cm(-1) has been identified in many of these spectra, the first time that a particular band has been observed in the spectra of PSCs in the atmosphere. The feature can be attributed to the nu(2) band of the NO3- ion and strongly suggests a condensed nitric acid component to the particles in the form of solid nitric acid trihydrate (NAT) or liquid ternary solution (STS). The spectral signatures belong to a definite sub-set of the PSC observations recorded by CRISTA. The particles are observed at temperatures well above 192 K, allowing for temperature errors, and it is suggested that NAT particles are the most likely source of the spectral signature. In addition, it is shown that PSC events in which no spectral signature is present are only observed below 192 K and display a very similar HNO3- temperature relationship to STS particles.</t>
  </si>
  <si>
    <t>Univ Leicester, Dept Phys &amp; Astron, EOS, Space Res Ctr, Leicester LE1 7RH, Leics, England</t>
  </si>
  <si>
    <t>University of Leicester</t>
  </si>
  <si>
    <t>Univ Leicester, Dept Phys &amp; Astron, EOS, Space Res Ctr, Univ Rd, Leicester LE1 7RH, Leics, England.</t>
  </si>
  <si>
    <t>R.spang@le.ac.uk; j.j.remedios@le.ac.uk</t>
  </si>
  <si>
    <t>Spang, Reinhold/A-2738-2013</t>
  </si>
  <si>
    <t>Spang, Reinhold/0000-0002-2483-5761</t>
  </si>
  <si>
    <t>10.1029/2003GL017231</t>
  </si>
  <si>
    <t>WOS:000185250700002</t>
  </si>
  <si>
    <t>Romero, AB; Thiemens, MH</t>
  </si>
  <si>
    <t>Mass-independent sulfur isotopic compositions in present-day sulfate aerosols</t>
  </si>
  <si>
    <t>sulfate aerosol; mass-independent; stratosphere</t>
  </si>
  <si>
    <t>OZONE FORMATION; O-17 ANOMALIES; OXYGEN; FRACTIONATION; SYSTEM; PHOTOPOLYMERIZATION; ATMOSPHERES; METEORITES; COASTAL; STRANGE</t>
  </si>
  <si>
    <t>Mass-independent (MI) sulfur isotopic anomalies recently observed in Precambrian rock samples have been attributed to photochemistry and used to establish oxygen levels in Earth's early atmosphere [Farquhar et al., 2000b, 2000a]. Here we report the first MI sulfur isotopic compositions in the present atmosphere from samples of Northern Hemispheric aerosol sulfate. The MI sulfur isotopic compositions do not correlate with MI oxygen signatures previously observed in the same samples [Lee and Thiemens, 2001; Lee, 2000; Bao et al., 2001]. Antarctic dry valley soil sulfate, which is atmospheric in origin and has a MI oxygen signature [Bao et al., 2000], is mass-dependent (MD) with respect to sulfur. A different process than that proposed to explain the MI oxygen signature in sulfate [Savarino et al., 2000] is therefore required. Possible sources of the anomaly are discussed, as well as potential applications to global climate and implications for Archean geology and the Earth's early atmosphere.</t>
  </si>
  <si>
    <t>Univ Calif San Diego, Dept Chem &amp; Biochem, La Jolla, CA 92093 USA</t>
  </si>
  <si>
    <t>University of California System; University of California San Diego</t>
  </si>
  <si>
    <t>Romero, AB (corresponding author), Univ Calif San Diego, Dept Chem &amp; Biochem, La Jolla, CA 92093 USA.</t>
  </si>
  <si>
    <t>abromero@chem.ucsd.edu; mht@chem.ucsd.edu</t>
  </si>
  <si>
    <t>D16</t>
  </si>
  <si>
    <t>10.1029/2003JD003660</t>
  </si>
  <si>
    <t>720GA</t>
  </si>
  <si>
    <t>WOS:000185252000004</t>
  </si>
  <si>
    <t>Röthlisberger, R; Mulvaney, R; Wolff, EW; Hutterli, MA; Bigler, M; de Angelis, M; Hansson, ME; Steffensen, JP; Udisti, R</t>
  </si>
  <si>
    <t>Limited dechlorination of sea-salt aerosols during the last glacial period:: Evidence from the European Project for Ice Coring in Antarctica (EPICA) Dome C ice core -: art. no. 4526</t>
  </si>
  <si>
    <t>sea-salt aerosol; ice core records; Antarctica</t>
  </si>
  <si>
    <t>SOUTH-POLE; CHEMISTRY; DUST; ATMOSPHERE; NITRATE; SNOW; GREENLAND; TRANSPORT; SULFATE; CLIMATE</t>
  </si>
  <si>
    <t>Chloride (Cl-) and sodium (Na+) in ice cores originate mainly from sea salt, and one would thus expect the Cl-/Na+ ratio to reflect the seawater ratio. However, at Dome C, a low-accumulation site in East Antarctica, this is not the case in present-day snow. Instead, a Cl- excess relative to Na+ is observed in surface snow, and within a few meters depth the Cl- concentration decreases, and the Cl-/Na+ ratio becomes significantly lower than the seawater ratio. Aerosol studies at coastal Antarctic sites have shown that the reaction of sea-salt aerosols with nitric and sulphuric acid leads to the formation of HCl that eventually escapes the sea-salt aerosol. The observed decrease in Cl- concentrations in the uppermost snow layers is due to reemission of HCl from the snow. Postdepositional loss of HCl depends among other factors on the accumulation rate at the site, with lower accumulation rates leading to larger losses. During the Last Glacial Maximum (LGM) the Cl-/Na+ ratio is relatively stable and close to the seawater ratio, despite the even lower accumulation rate during that time. The likely explanation for this conflicting observation is that high levels of dust neutralized nitric and sulphuric acids during the LGM which in turn reduced the formation of HCl from sea-salt aerosol. With less or no HCl formed, postdepositional loss would be prevented, keeping the Cl-/Na+ ratio close to that of sea water.</t>
  </si>
  <si>
    <t>British Antarctic Survey, Cambridge CB3 0ET, England; CNRS, LGGE, Grenoble, France; Univ Stockholm, S-10691 Stockholm, Sweden; Univ Copenhagen, Dept Geophys, DK-2100 Copenhagen, Denmark; Univ Florence, Dept Chem, I-50019 Sesto Fiorentino, Italy; Univ Bern, NCCR Climate, CH-3012 Bern, Switzerland</t>
  </si>
  <si>
    <t>UK Research &amp; Innovation (UKRI); Natural Environment Research Council (NERC); NERC British Antarctic Survey; Communaute Universite Grenoble Alpes; Universite Grenoble Alpes (UGA); Centre National de la Recherche Scientifique (CNRS); Stockholm University; University of Copenhagen; University of Florence; University of Bern</t>
  </si>
  <si>
    <t>regine@giub.unibe.ch</t>
  </si>
  <si>
    <t>Bishnoi, Mamta/AAQ-8346-2021; Bigler, Matthias/HTT-3872-2023; Udisti, Roberto/M-7966-2015; Steffensen, Jorgen Peder/JFS-7831-2023; Wolff, Eric W/D-7925-2014; Mulvaney, Robert/K-3929-2012</t>
  </si>
  <si>
    <t>Bishnoi, Mamta/0000-0003-4987-0536; Bigler, Matthias/0000-0003-0184-4013; Udisti, Roberto/0000-0003-4440-8238; Steffensen, Jorgen Peder/0000-0002-5516-1093; Wolff, Eric W/0000-0002-5914-8531; Mulvaney, Robert/0000-0002-5372-8148; Becagli, Silvia/0000-0003-3633-4849</t>
  </si>
  <si>
    <t>10.1029/2003JD003604</t>
  </si>
  <si>
    <t>WOS:000185252000003</t>
  </si>
  <si>
    <t>Kanzawa, H; Sugita, T; Nakajima, H; Bodeker, GE; Oelhaf, H; Stowasser, M; Wetzel, G; Engel, A; Schmidt, U; Levin, I; Toon, GC; Sen, B; Blavier, JF; Aoki, S; Nakazawa, T; Jucks, KW; Johnson, DG; Traub, WA; Camy-Peyret, C; Payan, S; Jeseck, P; Murata, I; Fukunishi, H; von König, M; Bremer, H; Küllmann, H; Park, JH; Pan, LL; Yokota, T; Suzuki, M; Shiotani, M; Sasano, Y</t>
  </si>
  <si>
    <t>Validation and data characteristics of nitrous oxide and methane profiles observed by the Improved Limb Atmospheric Spectrometer (ILAS) and processed with the Version 5.20 algorithm -: art. no. 8003</t>
  </si>
  <si>
    <t>nitrous oxide; methane; polar stratosphere; validation; satellite sensor; Improved Limb Atmospheric Spectrometer (ILAS)</t>
  </si>
  <si>
    <t>TUNABLE DIODE-LASER; POLAR VORTEX; RETRIEVAL ALGORITHM; STRATOSPHERIC N2O; UPPER TROPOSPHERE; CH4 MEASUREMENTS; TRACE GASES; BALLOON; O-3; WINTER</t>
  </si>
  <si>
    <t>Vertical profiles of nitrous oxide and methane at high latitudes (57-72degreesN; 64-89degreesS) were observed by the Improved Limb Atmospheric Spectrometer (ILAS) solar occultation sensor aboard Advanced Earth Observing Satellite. These measurements were made continuously from November 1996 through June 1997 with some additional periods in September-October 1996. A validation study of the nitrous oxide and methane data processed with the Version 5.20 ILAS retrieval algorithm is presented in this paper. Comparisons are made with (1) nitrous oxide and methane obtained by the ILAS validation balloon campaigns at Kiruna, Sweden, and at Fairbanks, Alaska, in the Arctic; (2) nitrous oxide and methane by the Photochemistry of Ozone Loss in the Arctic Region in Summer aircraft campaign in the Arctic; (3) nitrous oxide by the ground-based spectroscopic measurements and by the aircraft-based remote sensing measurements in the Arctic; and (4) methane by satellite measurements of the Version 19 Halogen Occultation Experiment in the Arctic and Antarctic. Comparisons of ILAS nitrous oxide and methane with Upper Atmosphere Research Satellite Reference Atmosphere data are also made. The results of the comparisons and additional ILAS internal consistency analyses are as follows: (1) the uncertainty of ILAS nitrous oxide is better than 10% over 10-30 km in altitude, and is larger than 50% over 30-40 km, which is comparable to the expected total errors of the ILAS measurements; (2) the uncertainty of ILAS methane is better than 10% over 10-50 km, except for 15-30 km in winter with positive biases exceeding 20%, which is smaller than or comparable to the expected total errors of the ILAS measurements (the quality of ILAS methane in the polar lower stratosphere is better in summer than in winter). In summary, the characteristics of ILAS measurements, i.e., high sampling frequency in polar latitudes with high vertical resolution, along with the good quality of ILAS Version 5.20 nitrous oxide for 10-40 km and the good quality of ILAS Version 5.20 methane for 10-50 km except for 15-30 km in winter, make the ILAS nitrous oxide and methane data set valuable for scientific study of various polar stratospheric phenomena.</t>
  </si>
  <si>
    <t>Natl Inst Environm Studies, Tsukuba, Ibaraki 3050053, Japan; Natl Inst Water &amp; Atmospher Res, Lauder, New Zealand; Univ Karlsruhe, Forschungszentrum Karlsruhe, Inst Meteorol &amp; Klimaforsch, D-76021 Karlsruhe, Germany; Goethe Univ Frankfurt, Inst Meteorol, D-60054 Frankfurt, Germany; Heidelberg Univ, Inst Umweltphys, D-69120 Heidelberg, Germany; CALTECH, Jet Prop Lab, Pasadena, CA 91109 USA; Tohoku Univ, Grad Sch Sci, Ctr Atmospher &amp; Ocean Studies, Sendai, Miyagi 9808578, Japan; Harvard Smithsonian Ctr Astrophys, Cambridge, MA 02138 USA; Univ Paris 06, CNRS, Lab Phys Mol &amp; Applicat, F-75252 Paris 05, France; Tohoku Univ, Grad Sch Sci, Dept Geophys, Sendai, Miyagi 9808578, Japan; Univ Bremen, Inst Umweltphys, D-28359 Bremen, Germany; NASA, Langley Res Ctr, Hampton, VA 23681 USA; Natl Ctr Atmospher Res, Boulder, CO 80307 USA; Hokkaido Univ, Grad Sch Environm Earth Sci, Sapporo, Hokkaido 060, Japan</t>
  </si>
  <si>
    <t>National Institute for Environmental Studies - Japan; National Institute of Water &amp; Atmospheric Research (NIWA) - New Zealand; Helmholtz Association; Karlsruhe Institute of Technology; Goethe University Frankfurt; Ruprecht Karls University Heidelberg; National Aeronautics &amp; Space Administration (NASA); NASA Jet Propulsion Laboratory (JPL); California Institute of Technology; Tohoku University; Smithsonian Institution; Smithsonian Astrophysical Observatory; Harvard University; Sorbonne Universite; Centre National de la Recherche Scientifique (CNRS); Tohoku University; University of Bremen; National Aeronautics &amp; Space Administration (NASA); NASA Langley Research Center; National Center Atmospheric Research (NCAR) - USA; Hokkaido University</t>
  </si>
  <si>
    <t>Nagoya Univ, Grad Sch Environm Studies, Dept Hydrospher Atmospher Sci, Div Earth &amp; Environm Sci,Chikusa Ku, Furo Cho, Nagoya, Aichi 4648601, Japan.</t>
  </si>
  <si>
    <t>kanzawa@ihas.nagoya-u.ac.jp; tsugita@nies.go.jp; hide@nies.go.jp; g.bodeker@niwa.co.nz; hermann.oelhaf@imk.fzk.de; markus.stowasser@imk.fzk.de; gerald.wetzel@imk.fzk.de; an.engel@meteor.uni-frankfurt.de; u.schmidt@meteor.uni-frankfurt.de; ingeborg.levin@iup.uni-heidelberg.de; aoki@mail.cc.tohoku.ac.jp; nakazawa@mail.cc.tohoku.ac.jp; kjucks@cfa.harvard.edu; d.g.johnson@larc.nasa.gov; wtraub@cfa.harvard.edu; murata@pat.geophys.tohoku.ac.jp; fuku@pat.geophys.tohoku.ac.jp; miriam@florian.physik.uni-bremen.de; bremer@florian.physik.uni-bremen.de; hkuell@uni-bremen.de; j.h.park@larc.nasa.gov; liwen@ucar.edu; yoko@nies.go.jp; suzuki@eorc.nasda.go.jp; shiotani@kurasc.kyoto-u.ac.jp; sasano@nies.go.jp</t>
  </si>
  <si>
    <t>Wetzel, Gerald/A-7065-2013; Pan, Laura L/A-9296-2008; Shiotani, Masato/M-8498-2017; Oelhaf, Hermann A/A-7895-2013; Sasano, Yasuhiro/AAL-8184-2020; Nakajima, Hideaki/M-8845-2019; Sugita, Takafumi/H-6669-2018; Bodeker, Greg E/A-8870-2008; Engel, Andreas/E-3100-2014; Sinnhuber, Miriam/A-7252-2013</t>
  </si>
  <si>
    <t>Wetzel, Gerald/0000-0002-6671-0297; Pan, Laura L/0000-0001-7377-2114; Sasano, Yasuhiro/0000-0001-7470-5642; Nakajima, Hideaki/0000-0002-2742-1230; Engel, Andreas/0000-0003-0557-3935; Bodeker, Gregory/0000-0003-1094-5852; Sinnhuber, Miriam/0000-0002-3527-9051; Shiotani, Masato/0000-0001-5844-4032</t>
  </si>
  <si>
    <t>AUG 28</t>
  </si>
  <si>
    <t>10.1029/2002JD002458</t>
  </si>
  <si>
    <t>720FV</t>
  </si>
  <si>
    <t>WOS:000185251500001</t>
  </si>
  <si>
    <t>Rundgren, M; Björck, S</t>
  </si>
  <si>
    <t>Late-glacial and early Holocene variations in atmospheric CO2 concentration indicated by high-resolution stomatal index data</t>
  </si>
  <si>
    <t>atmospheric CO2; late-glacial; early Holocene; stomata; Salix; Betula</t>
  </si>
  <si>
    <t>YOUNGER DRYAS EVENT; SEA-LEVEL RECORD; GRIP ICE CORE; NORTH-ATLANTIC; CARBON-DIOXIDE; OCEAN CIRCULATION; LATE PLEISTOCENE; CLIMATE-CHANGE; ANTARCTIC ICE; DENSITY</t>
  </si>
  <si>
    <t>Data from ice cores suggest that Late-glacial and early Holocene atmospheric CO2 variations were rather conservative, the most important change being a gradual Younger Dryas increase. By contrast, palaeo-CO2 records based on the inverse relationship between CO2 Partial pressure and stomatal frequency of terrestrial plant leaves reflect a more dynamic CO2 evolution, including an abrupt decrease at the Allerod/Younger Dryas transition. Here we present a Late-glacial and early Holocene CO2 record based on stomatal index data from leaves preserved in the sediments of a small lake in southwestern Sweden. Three independent records constructed from stomatal index data of Salix polaris, Salix herbacea and Betula nana leaves were combined to form a high-resolution CO2 reconstruction for the period 12 800-10 800 cal yr BP. Atmospheric CO2 concentrations were found to have decreased rapidly from c. 260 ppmv to 210-215 ppmv within 200 years during the Allerod (GI-1)/Younger Dryas (GS-1) transition. After 100-200 years, CO2 concentration started to gradually increase to 270-290 ppmv at the end of the Younger Dryas stadial (GS-1). CO2 concentrations were relatively stable during the early Holocene, except for a short-lived period of lower (240-250 ppmv) values c. 11350-11200 cal yr BP. This Late-glacial and early Holocene CO2 evolution partly resembles previous stomatal-based CO2 reconstructions, and the overall trend is almost identical to that seen in ice-core records. The amplitude of change is, however, markedly higher in the Swedish stomatal-based record compared to the ice cores. This difference may partly be accounted for by the inherent smoothing of ice-core CO2 records caused by diffusion, but a major part of the difference in amplitude between ice-core and stomatal-based records still remains to be explained. Based on our reconstruction, atmospheric CO2 may have played an important role in climate dynamics during the last deglaciation. (C) 2003 Elsevier B.V. All rights reserved.</t>
  </si>
  <si>
    <t>Lund Univ, Dept Geol, SE-22362 Lund, Sweden</t>
  </si>
  <si>
    <t>Lund University</t>
  </si>
  <si>
    <t>Rundgren, M (corresponding author), Lund Univ, Dept Geol, Solvegatan 12, SE-22362 Lund, Sweden.</t>
  </si>
  <si>
    <t>AUG 25</t>
  </si>
  <si>
    <t>10.1016/S0012-821X(03)00324-8</t>
  </si>
  <si>
    <t>716ZJ</t>
  </si>
  <si>
    <t>WOS:000185060100003</t>
  </si>
  <si>
    <t>Vaughan, APM; Scarrow, JH</t>
  </si>
  <si>
    <t>Ophiolite obduction pulses as a proxy indicator of superplume events?</t>
  </si>
  <si>
    <t>ophiolite; superplume; mid-Cretaceous; Pennsylvanian-Permian; Taconic</t>
  </si>
  <si>
    <t>ORDOVICIAN BLACK SHALES; MOUNTAIN OPHIOLITE; TECTONIC EVOLUTION; METAMORPHIC SOLE; ORIGIN; AGE; OROGENY; EMPLACEMENT; ROCKS; GEOCHEMISTRY</t>
  </si>
  <si>
    <t>A major new synthesis of ophiolite geochronology and map of global Phanerozoic distribution indicates that previously noted pulses of ophiolite obduction can be linked to superplume-related tectonism. A marked cyclicity is evident in obduction ages obtained from minerals in ophiolite metamorphic soles and obduction-related minor intrusions. This episodicity is in phase with periods of predominantly uniform polarity of the geomagnetic field, formation of massive carbon-rich deposits, sea-level highstands, and formation of large flood basalt provinces; all generally considered to be superplume proxy indicators. A key to interpreting ophiolite obduction as a further proxy is the mid-Cretaceous, superplume-associated, ocean-margin compressional deformation. During this event, thermal rejuvenation and increased buoyancy of ocean lithosphere caused arc-terrane collision, marginal-basin shoaling, back-arc basin closure and ophiolite obduction. Convergent margins were placed in compression with increased coupling between subducting and overriding plates resulting in major ocean margin deformation. Being directly datable and tectonically and petrologically distinctive makes ophiolite assemblages of considerable use for identifying superplume events. (C) 2003 Elsevier B.V. All rights reserved.</t>
  </si>
  <si>
    <t>British Antarctic Survey, Geol Sci Div, Cambridge CB3 0ET, England; Univ Granada, Dept Mineral &amp; Petrol, Granada 18002, Spain</t>
  </si>
  <si>
    <t>UK Research &amp; Innovation (UKRI); Natural Environment Research Council (NERC); NERC British Antarctic Survey; University of Granada</t>
  </si>
  <si>
    <t>British Antarctic Survey, Geol Sci Div, Madingley Rd,High Cross, Cambridge CB3 0ET, England.</t>
  </si>
  <si>
    <t>a.vaughan@bas.ac.uk; j.scarrow@ugr.es</t>
  </si>
  <si>
    <t>Vaughan, Alan PM/B-7829-2010; Scarrow, Jane Hannah/J-9237-2017</t>
  </si>
  <si>
    <t>Scarrow, Jane Hannah/0000-0001-8585-8679</t>
  </si>
  <si>
    <t>10.1016/S0012-821X(03)00330-3</t>
  </si>
  <si>
    <t>WOS:000185060100019</t>
  </si>
  <si>
    <t>Bryden, HL; Cunningham, SA</t>
  </si>
  <si>
    <t>How wind-forcing and air-sea heat exchange determine the meridional temperature gradient and stratification for the Antarctic Circumpolar Current</t>
  </si>
  <si>
    <t>Antarctic Circumpolar Current; stratification of the ocean; eddy effects on ocean circulation; wind forcing; buoyancy forcing; eddy heat flux</t>
  </si>
  <si>
    <t>DRAKE PASSAGE; OVERTURNING CIRCULATION; OCEAN CIRCULATION; SOUTHERN-OCEAN; FLUXES; VARIABILITY; TRANSPORT; TRACER; MODELS; BASIN</t>
  </si>
  <si>
    <t>Mesoscale oceanic eddies have a profound effect on the meridional circulation in the Antarctic Circumpolar region. Previous studies have shown that eddies transport heat poleward to balance the heat lost by the ocean to the atmosphere in the waters around Antarctica and also transport eastward momentum downward at a rate comparable to the amount of momentum put into the water column by the wind stress. Using the poleward eddy heat fluxes to relate air-sea heat loss and wind stress, we find that the meridional temperature gradient in the circumpolar region is determined by the ratio of the air-sea heat loss to the zonal wind stress. Including a widely used parameterisation where poleward eddy heat fluxes are proportional to the mean meridional temperature gradient, we find that the slope of isotherms ( or isopycnals) across the circumpolar zone is determined by the wind stress. Further assuming no cross-isopycnal mixing in the interior ocean, we find that the stratification in the deep ocean is determined by the ratio of air-sea heat loss to zonal wind stress squared. The poleward eddy heat fluxes also represent a southward eddy mass transport in the upper water column in density coordinates. The vertical gradient of this eddy mass transport is the meridional component of the eddy Stokes drift which is equal to the difference between the Lagrangian and Eulerian mean velocities in the circumpolar region. Because there can be no zonally averaged geostrophic Eulerian meridional velocity across the circumpolar region above the topography, this southward eddy Stokes drift provides a mechanism by which circumpolar deep water can flow southward across the circumpolar zone. Eddy heat fluxes, which are central to the mass, momentum, heat and energy balances in the circumpolar region, provide a catalyst for relating the roles of wind and buoyancy forcing in setting the overall circulation for the Southern Ocean.</t>
  </si>
  <si>
    <t>Southampton Oceanog Ctr, Southampton SO14 3ZH, Hants, England.</t>
  </si>
  <si>
    <t>h.bryden@soc.soton.ac.uk</t>
  </si>
  <si>
    <t>Bryden, Harry/0000-0002-8216-6359</t>
  </si>
  <si>
    <t>AUG 23</t>
  </si>
  <si>
    <t>C8</t>
  </si>
  <si>
    <t>10.1029/2001JC001296</t>
  </si>
  <si>
    <t>715XQ</t>
  </si>
  <si>
    <t>WOS:000185000100001</t>
  </si>
  <si>
    <t>Nishimiya, Y; Ohgiya, S; Tsuda, S</t>
  </si>
  <si>
    <t>Artificial multimers of the type III antifreeze protein - Effects on thermal hysteresis and ice crystal morphology</t>
  </si>
  <si>
    <t>JOURNAL OF BIOLOGICAL CHEMISTRY</t>
  </si>
  <si>
    <t>STRUCTURAL BASIS; CELL-SURVIVAL; BINDING; SURFACE; POUT; CRYOPRESERVATION; IDENTIFICATION; POLYPEPTIDE; INHIBITION; ADSORPTION</t>
  </si>
  <si>
    <t>A variant of antifreeze protein (AFP) named RD3 from antarctic eel pout (Lycodichthys dearborni) comprises the type III AFP intramolecular dimer, which is known to exhibit a significant enhancement of thermal hysteresis when compared with the type III AFP monomer (Miura, K., Ohgiya, S., Hoshino, T, Nemoto, N., Suetake, T., Miura, A, Spyracopoulos, L., Kondo, H., and Tsuda, S. (2001) J. Biol. Chem. 276, 1304-1310). Here we genetically synthesized intramolecular dimer, trimer, and tetramer of the type III AFP, for which we utilize the genes encoding the primary sequences of the N-domain, the C-domain, and the 9-residue linker of RD3, and we examined the AFP multimerization effects on thermal hysteresis and ice crystal morphology. Significantly, (i) the thermal hysteresis increases in proportion with the size of the multimers, (ii) a larger size of the multimer exerts the maximum activity at lower concentration, (iii) every multimer changes the morphology of a single ice crystal into a unique shape that is similar but not identical to the ordinary hexagonal bipyramid, and (iv) the size of ice crystal becomes dramatically small with increasing the concentration of the multimer. The thermal hysteresis enhancement of the multimer was detected in both molar and domain bases. These results suggest that a molecule comprising the multiple AFP domains connected in tandem acquires an enhanced affinity for the ice binding.</t>
  </si>
  <si>
    <t>Natl Inst Adv Ind Sci &amp; Technol, Inst Biol Resources &amp; Funct, Prot Struct Res Grp, Sapporo, Hokkaido 0628517, Japan; Natl Inst Adv Ind Sci &amp; Technol, Inst Biol Resources &amp; Funct, Mol Adaptat Res Grp, Sapporo, Hokkaido 0628517, Japan; Hokkaido Univ, Grad Sch Sci, Div Biol Sci, Sapporo, Hokkaido 0600810, Japan</t>
  </si>
  <si>
    <t>National Institute of Advanced Industrial Science &amp; Technology (AIST); National Institute of Advanced Industrial Science &amp; Technology (AIST); Hokkaido University</t>
  </si>
  <si>
    <t>Tsuda, S (corresponding author), Natl Inst Adv Ind Sci &amp; Technol, Inst Biol Resources &amp; Funct, Prot Struct Res Grp, 2-17-2-1 Tsukisamu Higashi, Sapporo, Hokkaido 0628517, Japan.</t>
  </si>
  <si>
    <t>Ohgiya, Satoru/V-3117-2018; Tsuda, Sakae/M-2756-2018; Nishimiya, Yoshiyuki/M-4173-2018</t>
  </si>
  <si>
    <t>Ohgiya, Satoru/0000-0001-8257-8284; Tsuda, Sakae/0000-0002-1399-0619; Nishimiya, Yoshiyuki/0000-0002-0701-7775</t>
  </si>
  <si>
    <t>AMER SOC BIOCHEMISTRY MOLECULAR BIOLOGY INC</t>
  </si>
  <si>
    <t>BETHESDA</t>
  </si>
  <si>
    <t>9650 ROCKVILLE PIKE, BETHESDA, MD 20814-3996 USA</t>
  </si>
  <si>
    <t>0021-9258</t>
  </si>
  <si>
    <t>J BIOL CHEM</t>
  </si>
  <si>
    <t>J. Biol. Chem.</t>
  </si>
  <si>
    <t>AUG 22</t>
  </si>
  <si>
    <t>10.1074/jbc.M304390200</t>
  </si>
  <si>
    <t>Biochemistry &amp; Molecular Biology</t>
  </si>
  <si>
    <t>712DP</t>
  </si>
  <si>
    <t>WOS:000184782100107</t>
  </si>
  <si>
    <t>Arrigo, KR; van Dijken, GL</t>
  </si>
  <si>
    <t>Phytoplankton dynamics within 37 Antarctic coastal polynya systems</t>
  </si>
  <si>
    <t>Antarctica; polynya; primary production; phytoplankton</t>
  </si>
  <si>
    <t>NORTHEAST WATER POLYNYA; MERTZ GLACIER POLYNYA; TERRA-NOVA BAY; SOUTHERN ROSS SEA; EAST ANTARCTICA; PRYDZ BAY; THERMOHALINE CIRCULATION; SATELLITE-OBSERVATIONS; TAXONOMIC VARIABILITY; MARINE ECOSYSTEM</t>
  </si>
  <si>
    <t>Antarctic coastal polynyas are areas of reduced sea ice cover within the ice pack and their associated surface waters are noted for sustaining enhanced levels of biological production during the spring and summer. Here we present satellite-based estimates of interannual changes in the areal extent, phytoplankton abundance, and primary productivity within 37 Antarctic coastal polynya systems over five annual cycles (1997 to 2002). The largest polynya studied was located in the Ross Sea (396,500 km(2)) while the smallest was located in the West Lazarev Sea (1040 km(2)). Most polynyas attained maximum areal extents in February of less than 20,000 km(2). Mean polynya chlorophyll a from 1 September to 31 March ranged from 0.16 to 2.2 mg m(-3), averaging 0.69 mg m(-3). Daily production averaged 0.09 to 0.76 g C m(-2) d(-1). Mean annual primary production ranged from 18 to 161 g C m(-2) yr(-1), with most coastal polynyas exhibiting annual rates of production between 20 and 80 g C m(-2). Total production (the product of the open water area and the spatial mean daily primary production rate) varied by 2 orders of magnitude, from 0.03 to 48 Tg C yr(-1). Taken together, the Ross Sea, Ronne Ice Shelf, Prydz Bay, and Amundsen Sea polynyas are responsible for &gt;75% of total polynya production. In eastern Antarctica, where 91% of all Adelie penguin colonies are associated with a coastal polynya, the magnitude of annual production in polynyas explained 65% of the variance in penguin colony size.</t>
  </si>
  <si>
    <t>Stanford Univ, Dept Geophys, Stanford, CA 94305 USA</t>
  </si>
  <si>
    <t>Stanford University</t>
  </si>
  <si>
    <t>Stanford Univ, Dept Geophys, Mitchell Bldg 355, Stanford, CA 94305 USA.</t>
  </si>
  <si>
    <t>arrigo@pangea.stanford.edu; gertvd@pangea.stanford.edu</t>
  </si>
  <si>
    <t>Van Dijken, Gert L/C-5276-2011</t>
  </si>
  <si>
    <t>Arrigo, Kevin/0000-0002-7364-876X; Van Dijken, Gert/0000-0002-9587-6317</t>
  </si>
  <si>
    <t>10.1029/2002JC001739</t>
  </si>
  <si>
    <t>715XP</t>
  </si>
  <si>
    <t>WOS:000184999900004</t>
  </si>
  <si>
    <t>Law, CS; Abraham, ER; Watson, AJ; Liddicoat, MI</t>
  </si>
  <si>
    <t>Vertical eddy diffusion and nutrient supply to the surface mixed layer of the Antarctic Circumpolar Current</t>
  </si>
  <si>
    <t>tracer; vertical diffusion; pycnocline; nutrients; iron; phytoplankton</t>
  </si>
  <si>
    <t>IRON FERTILIZATION EXPERIMENT; RELEASE EXPERIMENT SOIREE; SOUTHERN-OCEAN; PACIFIC SECTOR; SULFUR-HEXAFLUORIDE; GAS-EXCHANGE; PHYTOPLANKTON PROCESSES; ATMOSPHERIC CO2; SILICIC-ACID; TRACER</t>
  </si>
  <si>
    <t>Dispersion of the tracer sulphur hexafluoride (SF6) during the Southern Ocean Iron Enrichment Experiment (SOIREE) provided an estimate of vertical exchange at the base of the surface mixed layer (60 m) at 61degreesS 140degreesE. Budget analysis confirmed that the SF6 patch was well constrained by surface mapping, with the decline in total SF6 showing good agreement with that predicted from wind speed parameterizations. Two approaches were used to calculate the mean effective vertical diffusivity Kz from the diapycnal transfer of SF6, with complementary error function and second-moment fits to the SF6 depth profiles indicating that Kz was less than 0.3 x 10(-4) m(2)s(-1). This result was examined using a three-dimensional diffusion model that incorporated lateral dispersion and air-sea exchange losses, which confirmed that vertical shear and subpycnocline dispersion did not influence the Kz estimate. Current shear at the base of the mixed layer was generated by wind-driven inertial oscillation, with a decrease in wind speed and increasing stratification in the latter half of the experiment reducing diapycnal transfer of SF6. A compilation was used to examine the potential of both N (Brunt-Vaisala frequency) and Ri (gradient Richardson number) on the basis of parameterizations of Kz in the seasonal pycnocline. Application of Kz to nutrient gradients in the seasonal pycnocline suggests that vertical diffusion represents a significant pathway for silicic acid supply in late summer. Furthermore, use of the mean effective Kz (0.11 +/- 0.2 x 10(-4) m(2)s(-1)) indicates that vertical diffusion supplies a large proportion of the iron required for new production in this region.</t>
  </si>
  <si>
    <t>Plymouth Marine Lab, Plymouth PL1 3DH, Devon, England; Natl Inst Water &amp; Atmospher Res, Wellington, New Zealand; Univ E Anglia, Sch Environm Sci, Norwich NR4 7TJ, Norfolk, England</t>
  </si>
  <si>
    <t>Plymouth Marine Laboratory; National Institute of Water &amp; Atmospheric Research (NIWA) - New Zealand; University of East Anglia</t>
  </si>
  <si>
    <t>Natl Inst Water &amp; Atmospher Res, Greta Point,POB 14-901, Wellington, New Zealand.</t>
  </si>
  <si>
    <t>c.law@niwa.co.nz; e.abraham@niwa.co.nz; a.j.watson@uea.ac.uk; m.liddicoat@mail.pml.ac.uk</t>
  </si>
  <si>
    <t>Abraham, Edward R/D-7422-2011</t>
  </si>
  <si>
    <t>Abraham, Edward R/0000-0003-4490-6704; Law, Cliff/0000-0002-7669-2475; Watson, Andrew/0000-0002-9654-8147</t>
  </si>
  <si>
    <t>10.1029/2002JC001604</t>
  </si>
  <si>
    <t>WOS:000184999900003</t>
  </si>
  <si>
    <t>Bindschadler, RA; King, MA; Alley, RB; Anandakrishnan, S; Padman, L</t>
  </si>
  <si>
    <t>Tidally controlled stick-slip discharge of a West Antarctic ice stream</t>
  </si>
  <si>
    <t>SCIENCE</t>
  </si>
  <si>
    <t>MASS-BALANCE; GLACIER; SEA; SPEED; SHELF; SHEAR</t>
  </si>
  <si>
    <t>A major West Antarctic ice stream discharges by sudden and brief periods of very rapid motion paced by oceanic tidal oscillations of about 1 meter. Acceleration to speeds greater than 1 meter per hour and deceleration back to a stationary state occur in minutes or less. Slip propagates at approximately 88 meters per second, suggestive of a shear wave traveling within the subglacial till. A model of an episodically slipping friction-locked fault reproduces the observed quasi-periodic event timing, demonstrating an ice stream's ability to change speed rapidly and its extreme sensitivity to subglacial conditions and variations in sea level.</t>
  </si>
  <si>
    <t>NASA, Goddard Space Flight Ctr, Ocean &amp; Ice Branch, Greenbelt, MD 20771 USA; Newcastle Univ, Sch Civil Engn &amp; Geosci, Newcastle Upon Tyne NE1 7RU, Tyne &amp; Wear, England; Penn State Univ, Dept Geosci, University Pk, PA 16802 USA; Penn State Univ, EMS Environm Inst, University Pk, PA 16802 USA; Earth &amp; Space Res, Seattle, WA 98102 USA</t>
  </si>
  <si>
    <t>National Aeronautics &amp; Space Administration (NASA); NASA Goddard Space Flight Center; Newcastle University - UK;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</si>
  <si>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NASA, Goddard Space Flight Ctr, Ocean &amp; Ice Branch, Greenbelt, MD 20771 USA.</t>
  </si>
  <si>
    <t>Robert.A.Bindschadler@nasa.gov</t>
  </si>
  <si>
    <t>King, Matt/B-4622-2008; Padman, Laurence/AAH-3808-2021; Anandakrishnan, Sridhar/JCN-5026-2023</t>
  </si>
  <si>
    <t>King, Matt/0000-0001-5611-9498; Padman, Laurence/0000-0003-2010-642X</t>
  </si>
  <si>
    <t>AMER ASSOC ADVANCEMENT SCIENCE</t>
  </si>
  <si>
    <t>1200 NEW YORK AVE, NW, WASHINGTON, DC 20005 USA</t>
  </si>
  <si>
    <t>0036-8075</t>
  </si>
  <si>
    <t>1095-9203</t>
  </si>
  <si>
    <t>Science</t>
  </si>
  <si>
    <t>10.1126/science.1087231</t>
  </si>
  <si>
    <t>713RP</t>
  </si>
  <si>
    <t>WOS:000184872400037</t>
  </si>
  <si>
    <t>Barbini, R; Colao, F; Fantoni, R; Ferrari, GM; Lai, A; Palucci, A</t>
  </si>
  <si>
    <t>Application of a lidar fluorosensor system to the continuous and remote monitoring of the Southern Ocean and Antarctic Ross Sea: results collected during the XIII and XV Italian oceanographic campaigns</t>
  </si>
  <si>
    <t>INTERNATIONAL JOURNAL OF REMOTE SENSING</t>
  </si>
  <si>
    <t>PHYTOPLANKTON; FLUORESCENCE; PHOTOSYNTHESIS; ABSORPTION; SEAWATER; PIGMENTS; BLOOM</t>
  </si>
  <si>
    <t>A mobile fluorosensor laboratory, including as main constituent a lidar fluorosensor apparatus for remote measurements at water surface and ancillary instruments dedicated to local analyses, was developed for extensive biooptical monitoring of the sea waters. Continuous remote and local measurements of Chl-a (Chlorophyll a) and CDOM (Chromophoric Dissolved Organic Matter) were performed during the XIII (1997/1998) and XV (1999/2000) marine campaigns in the South-western Ross Sea and along the Southern Ocean transects to New Zealand as part of the Italian Research Programme for Antarctica. Chl-a and CDOM fluorescence maps of the investigated areas revealed the bio-optical peculiarity of coastal zones and seasonal changes encountered.</t>
  </si>
  <si>
    <t>ENEA, Div Fis Applicata, Ctr Ric Frascati, I-00044 Frascati, Italy; SAI, CEE JRC, Ispra, Varese, Italy</t>
  </si>
  <si>
    <t>Italian National Agency New Technical Energy &amp; Sustainable Economics Development; European Commission Joint Research Centre; EC JRC ISPRA Site</t>
  </si>
  <si>
    <t>Barbini, R (corresponding author), ENEA, Div Fis Applicata, Ctr Ric Frascati, CP 65, I-00044 Frascati, Italy.</t>
  </si>
  <si>
    <t>PALUCCI, ANTONIO/0009-0006-9442-1544</t>
  </si>
  <si>
    <t>0143-1161</t>
  </si>
  <si>
    <t>INT J REMOTE SENS</t>
  </si>
  <si>
    <t>Int. J. Remote Sens.</t>
  </si>
  <si>
    <t>AUG 20</t>
  </si>
  <si>
    <t>10.1080/0143116021000021260</t>
  </si>
  <si>
    <t>Remote Sensing; Imaging Science &amp; Photographic Technology</t>
  </si>
  <si>
    <t>700TX</t>
  </si>
  <si>
    <t>WOS:000184128200001</t>
  </si>
  <si>
    <t>Barbini, R; Colao, F; Fantoni, R; Fiorani, L; Palucci, A</t>
  </si>
  <si>
    <t>Lidar fluorosensor calibration of the SeaWiFS chlorophyll algorithm in the Ross Sea</t>
  </si>
  <si>
    <t>BIOOPTICAL PROPERTIES; PHYTOPLANKTON BLOOM; RADIANCE; OCEANS</t>
  </si>
  <si>
    <t>Surface chlorophyll-a concentrations were measured in the Ross Sea and in the Antarctica-New Zealand transect by the lidar fluorosensor aboard the research vessel Italica during the 13th Italian Antarctic Oceanographic Campaign (December 1997-January 1998). The lidar measurements were compared to the data collected by the Sea-viewing Wide Field-of-view Sensor (SeaWiFS). The study area contained four distinct regions: coastal waters located east of Terra Nova Bay (chlorophyll-a 0.2-9 mg m(-3)), offshore waters of the Ross Sea (chlorophyll-a 0.03-7 mg m(-3)), offshore waters of the Ross Sea-New Zealand transect (chlorophyll-a 0.1-2 mg m(-3)) and coastal waters located south of New Zealand (chlorophyll-a 0.2-9 mg m(-3)). In coastal waters, lidar values were significantly higher than those of SeaWiFS. In offshore waters the discrepancy was lower and the experimental points were enough to calibrate the SeaWiFS chlorophyll-a algorithm against the lidar fluorosensor measurements in the Ross Sea.</t>
  </si>
  <si>
    <t>ENEA, I-00044 Frascati, Italy</t>
  </si>
  <si>
    <t>Italian National Agency New Technical Energy &amp; Sustainable Economics Development</t>
  </si>
  <si>
    <t>Fiorani, L (corresponding author), ENEA, Via Fermi 45, I-00044 Frascati, Italy.</t>
  </si>
  <si>
    <t>fiorani@frascati.enea.it</t>
  </si>
  <si>
    <t>Fiorani, Luca/AAT-8943-2021</t>
  </si>
  <si>
    <t>PALUCCI, ANTONIO/0009-0006-9442-1544; Fiorani, Luca/0000-0001-9696-3124</t>
  </si>
  <si>
    <t>1366-5901</t>
  </si>
  <si>
    <t>10.1080/0143116021000047938</t>
  </si>
  <si>
    <t>WOS:000184128200002</t>
  </si>
  <si>
    <t>Sankey, D; Shepherd, TG</t>
  </si>
  <si>
    <t>Correlations of long-lived chemical species in a middle atmosphere general circulation model</t>
  </si>
  <si>
    <t>chemical correlations; long-lived species; transport and mixing</t>
  </si>
  <si>
    <t>LOWER STRATOSPHERE; 3-DIMENSIONAL SIMULATIONS; REACTIVE NITROGEN; WATER-VAPOR; OZONE LOSS; TRANSPORT; N2O; WINTER; O-3; CONSTITUENTS</t>
  </si>
  <si>
    <t>Correlations between various chemical species simulated by the Canadian Middle Atmosphere Model, a general circulation model with fully interactive chemistry, are considered in order to investigate the general conditions under which compact correlations can be expected to form. At the same time, the analysis serves to validate the model. The results are compared to previous work on this subject, both from theoretical studies and from atmospheric measurements made from space and from aircraft. The results highlight the importance of having a data set with good spatial coverage when working with correlations and provide a background against which the compactness of correlations obtained from atmospheric measurements can be confirmed. It is shown that for long-lived species, distinct correlations are found in the model in the tropics, the extratropics, and the Antarctic winter vortex. Under these conditions, sparse sampling such as arises from occultation instruments is nevertheless suitable to define a chemical correlation within each region even from a single day of measurements, provided a sufficient range of mixing ratio values is sampled. In practice, this means a large vertical extent, though the requirements are less stringent at more poleward latitudes.</t>
  </si>
  <si>
    <t>Univ Toronto, Dept Phys, Toronto, ON M5S 1A7, Canada</t>
  </si>
  <si>
    <t>University of Toronto</t>
  </si>
  <si>
    <t>Sankey, D (corresponding author), Univ Toronto, Dept Phys, 60 St George St, Toronto, ON M5S 1A7, Canada.</t>
  </si>
  <si>
    <t>sankey@atmosp.physics.utoronto.ca; tgs@atmosp.physics.utoronto.ca</t>
  </si>
  <si>
    <t>AUG 19</t>
  </si>
  <si>
    <t>10.1029/2002JD002799</t>
  </si>
  <si>
    <t>715XE</t>
  </si>
  <si>
    <t>Bronze, Green Accepted</t>
  </si>
  <si>
    <t>WOS:000184998800002</t>
  </si>
  <si>
    <t>Meinen, CS; Luther, DS; Watts, DR; Chave, AD; Tracey, KL</t>
  </si>
  <si>
    <t>Mean stream coordinates structure of the Subantarctic Front: Temperature, salinity, and absolute velocity</t>
  </si>
  <si>
    <t>Subantarctic Front; Antarctic Circumpolar Current; Southern Ocean; stream coordinates; SAF; ACC</t>
  </si>
  <si>
    <t>INDUCED ELECTROMAGNETIC-FIELDS; CIRCUMPOLAR CURRENT SOUTH; GRAVEST EMPIRICAL MODE; GULF-STREAM; DRAKE PASSAGE; LOW-FREQUENCY; VERTICAL STRUCTURE; ELECTRIC-FIELD; POLAR FRONT; OCEAN</t>
  </si>
  <si>
    <t>The mean synoptic structure of the northern, strongest branch of the Antarctic Circumpolar Current southwest of Tasmania, at the Subantarctic Front (SAF), is estimated by a stream coordinates analysis of data from overlapping arrays of Inverted Echo Sounders (IESs) and Horizontal Electric Field Recorders deployed during the 1995-1997 Sub-Antarctic Flux and Dynamics Experiment. The stream coordinates are derived from a daily objective mapping of the temperature field obtained from combining the IES travel time measurements with an empirical look-up table constructed from the extensive hydrography acquired during WOCE. Full-water-column stream-coordinates sections of temperature, Salinity, and absolute velocity are presented and compared with prior observations. The along-stream current has a single peak with surface velocities reaching about 50 cm s(-1). The vertical structure of the along-stream velocity is roughly consistent with a combined external and first internal normal mode description that is adapted to the buoyancy frequency as it varies across the front, although there are some significant differences. The cross-stream structure of along-stream velocity is very nearly symmetric about the jet axis, but the lateral shear magnitude is slightly larger on the cold side of the SAF. Separating the baroclinic and barotropic currents reveals that the SAF currents are diffluent, primarily baroclinically, in the cross-stream direction. Baroclinic cross-stream diffluence of approximately 0.23 Sv per km (Sv=10(6) m(3) s(-1)), or about 16 Sv per degree of longitude at 51degreesS. The 2-year mean total SAF transport is 75 Sv (for a 220 km width); the barotropic contribution is small (8 Sv) but not negligible.</t>
  </si>
  <si>
    <t>Univ Miami, Cooperat Inst Marine &amp; Atmospher Studies, Miami, FL 33152 USA; Univ Rhode Isl, Grad Sch Oceanog, Narragansett, RI 02882 USA; Woods Hole Oceanog Inst, Deep Submergence Lab, Woods Hole, MA 02543 USA; Univ Hawaii Manoa, Dept Oceanog, Honolulu, HI 96822 USA</t>
  </si>
  <si>
    <t>University of Miami; University of Rhode Island; Woods Hole Oceanographic Institution; University of Hawaii System; University of Hawaii Manoa</t>
  </si>
  <si>
    <t>NOAA, Atlantic Oceanog &amp; Meteorol Lab, PHOD, 4301 Rickenbacker Causeway, Miami, FL 33149 USA.</t>
  </si>
  <si>
    <t>Christopher.Meinen@noaa.gov; dluther@soest.hawaii.edu; rwatts@gso.uri.edu; achave@whoi.edu; ktracey@gso.uri.edu</t>
  </si>
  <si>
    <t>Luther, Douglas/ABF-4047-2020; Meinen, Christopher/G-1902-2012</t>
  </si>
  <si>
    <t>Meinen, Christopher/0000-0002-8846-6002; Chave, Alan/0000-0002-2460-1172</t>
  </si>
  <si>
    <t>AUG 15</t>
  </si>
  <si>
    <t>10.1029/2002JC001545</t>
  </si>
  <si>
    <t>713QK</t>
  </si>
  <si>
    <t>WOS:000184869300002</t>
  </si>
  <si>
    <t>Alvarez-Muñiz, J; Marqués, E; Vázquez, RA; Zas, E</t>
  </si>
  <si>
    <t>Comparative study of electromagnetic shower track lengths in water and implications for Cerenkov radio emission -: art. no. 043001</t>
  </si>
  <si>
    <t>PHYSICAL REVIEW D</t>
  </si>
  <si>
    <t>HIGH-ENERGY NEUTRINOS; COSMIC NEUTRINOS; PAIR PRODUCTION; ANTARCTIC ICE; DIFFUSE FLUX; BREMSSTRAHLUNG; DETECTORS; PULSES; SUPPRESSION; TELESCOPE</t>
  </si>
  <si>
    <t>We compare in detail the results of simulations of electromagnetic showers in ice in the GeV-TeV energy range, using both the GEANT package and the ZHS Monte Carlo code, a code specifically designed to calculate coherent Cerenkov radio pulses from electromagnetic showers in dense media. The longitudinal and lateral profiles as well as the track lengths and excess projected track lengths are shown to agree below the 15% level. We briefly comment on the negligible influence of the Landau-Pomerancuk-Migdal effect on the total shower track length. Our results are relevant for experiments exploiting the radio Cerenkov technique in dense media as well as for other detectors that rely on the Cerenkov effect in water or ice.</t>
  </si>
  <si>
    <t>Univ Delaware, Bartol Res Inst, Newark, DE 19716 USA; Univ Santiago Compostela, Dept Fis Particulas, E-15706 Santiago, Spain</t>
  </si>
  <si>
    <t>University of Delaware; Universidade de Santiago de Compostela</t>
  </si>
  <si>
    <t>Alvarez-Muñiz, J (corresponding author), Univ Delaware, Bartol Res Inst, Newark, DE 19716 USA.</t>
  </si>
  <si>
    <t>Vazquez, Jose Ramon J. R./K-2272-2015; Alvarez-Muniz, Jaime/H-1857-2015; Zas, Enrique/I-5556-2015</t>
  </si>
  <si>
    <t>Alvarez-Muniz, Jaime/0000-0002-2367-0803; Zas, Enrique/0000-0002-4430-8117; Vazquez Lopez, Ricardo/0000-0003-4025-5262</t>
  </si>
  <si>
    <t>AMERICAN PHYSICAL SOC</t>
  </si>
  <si>
    <t>COLLEGE PK</t>
  </si>
  <si>
    <t>ONE PHYSICS ELLIPSE, COLLEGE PK, MD 20740-3844 USA</t>
  </si>
  <si>
    <t>0556-2821</t>
  </si>
  <si>
    <t>PHYS REV D</t>
  </si>
  <si>
    <t>Phys. Rev. D</t>
  </si>
  <si>
    <t>10.1103/PhysRevD.68.043001</t>
  </si>
  <si>
    <t>Astronomy &amp; Astrophysics; Physics, Particles &amp; Fields</t>
  </si>
  <si>
    <t>Astronomy &amp; Astrophysics; Physics</t>
  </si>
  <si>
    <t>719ZM</t>
  </si>
  <si>
    <t>WOS:000185235500008</t>
  </si>
  <si>
    <t>Pahnke, K; Zahn, R; Elderfield, H; Schulz, M</t>
  </si>
  <si>
    <t>340,000-year centennial-scale marine record of Southern Hemisphere climatic oscillation</t>
  </si>
  <si>
    <t>SEA-SURFACE TEMPERATURE; LAST GLACIAL PERIOD; NEW-ZEALAND; NORTH-ATLANTIC; ICE-CORE; SOUTHWEST PACIFIC; FIELD INTENSITY; WATER MASSES; CHATHAM RISE; SW PACIFIC</t>
  </si>
  <si>
    <t>In order to investigate rapid climatic changes at mid-southern latitudes, we have developed centennial-scale paleoceanographic records from the southwest Pacific that enable detailed comparison with Antarctic ice core records. These records suggest close coupling of mid-southern latitudes with Antarctic climate during deglacial and interglacial periods. Glacial sections display higher variability than is seen in Antarctic ice cores, which implies climatic decoupling between mid- and high southern latitudes due to enhanced circum-Antarctic circulation. Structural and temporal similarity with the Greenland ice core record is evident in glacial sections and suggests a degree of interhemispheric synchroneity not predicted from bipolar ice core correlations.</t>
  </si>
  <si>
    <t>Cardiff Univ, Sch Earth Ocean &amp; Planetary Sci, Cardiff CF10 3YE, S Glam, Wales; Univ Barcelona, Inst Catalana Rec &amp; Estudis Avancats, E-08028 Barcelona, Spain; Univ Barcelona, Fac Geol, Grp Rec Consolidat Geociencies Marines, Dept Estratig Paleontol &amp; Geociencias Marines, E-08028 Barcelona, Spain; Univ Cambridge, Dept Earth Sci, Cambridge CB2 3EQ, England; Univ Bremen, Dept Geosci, D-28334 Bremen, Germany; Univ Bremen, DFG Res Ctr Ocean Margins, D-28334 Bremen, Germany</t>
  </si>
  <si>
    <t>Cardiff University; University of Barcelona; ICREA; University of Barcelona; University of Cambridge; University of Bremen; German Research Foundation (DFG); University of Bremen</t>
  </si>
  <si>
    <t>Pahnke, K (corresponding author), Cardiff Univ, Sch Earth Ocean &amp; Planetary Sci, Park Pl, Cardiff CF10 3YE, S Glam, Wales.</t>
  </si>
  <si>
    <t>; Schulz, Michael/P-7276-2016</t>
  </si>
  <si>
    <t>Pahnke, Katharina/0000-0001-9114-8411; Schulz, Michael/0000-0001-6500-2697</t>
  </si>
  <si>
    <t>ICREA Funding Source: Custom</t>
  </si>
  <si>
    <t>ICREA(ICREA)</t>
  </si>
  <si>
    <t>10.1126/science.1084451</t>
  </si>
  <si>
    <t>711RY</t>
  </si>
  <si>
    <t>WOS:000184755900034</t>
  </si>
  <si>
    <t>Sinnhuber, M; Burrows, JP; Chipperfield, MP; Jackman, CH; Kallenrode, MB; Künzi, KF; Quack, M</t>
  </si>
  <si>
    <t>A model study of the impact of magnetic field structure on atmospheric composition during solar proton events -: art. no. 1818</t>
  </si>
  <si>
    <t>COSMIC-RAY EVENTS; MIDDLE ATMOSPHERE; PARTICLE-PRECIPITATION; STRATOSPHERE; SIMULATIONS; MESOSPHERE; NITROGEN; OXYGEN; OZONE; AIR</t>
  </si>
  <si>
    <t>During a polarity transition of the Earth's magnetic field, the structure and strength of the field change significantly from their present values. This will alter the global pattern of charged particle precipitation into the atmosphere. Thus, particle precipitation is possible into regions that are at the moment effectively shielded by the Earth's magnetic field. A two-dimensional global chemistry, photolysis and transport model of the atmosphere has been used to investigate how the increased particle precipitation affects the chemical composition of the middle and lower atmosphere. Ozone losses resulting from large energetic particle events are found to increase significantly, with resultant losses similar to those observed in the Antarctic ozone hole of the 1990s. This results in significant increases in surface UV-B radiation as well as changes in stratospheric temperature and circulation over a period of several months after large particle events.</t>
  </si>
  <si>
    <t>Univ Bremen, Inst Environm Phys, D-2800 Bremen 33, Germany; Univ Leeds, Sch Environm, Leeds LS2 9JT, W Yorkshire, England; NASA, Goddard Space Flight Ctr, Greenbelt, MD 20771 USA; Univ Osnabruck, D-4500 Osnabruck, Germany</t>
  </si>
  <si>
    <t>University of Bremen; University of Leeds; National Aeronautics &amp; Space Administration (NASA); NASA Goddard Space Flight Center; University Osnabruck</t>
  </si>
  <si>
    <t>Univ Bremen, Inst Environm Phys, D-2800 Bremen 33, Germany.</t>
  </si>
  <si>
    <t>miriam@iup.physik.uni-bremen.de</t>
  </si>
  <si>
    <t>Burrows, John Philip/AAF-8468-2019; Jackman, Charles H/D-4699-2012; Chipperfield, Martyn/H-6359-2013; Sinnhuber, Miriam/A-7252-2013</t>
  </si>
  <si>
    <t>Burrows, John Philip/0000-0002-6821-5580; Chipperfield, Martyn/0000-0002-6803-4149; Sinnhuber, Miriam/0000-0002-3527-9051</t>
  </si>
  <si>
    <t>AUG 13</t>
  </si>
  <si>
    <t>10.1029/2003GL017265</t>
  </si>
  <si>
    <t>713PP</t>
  </si>
  <si>
    <t>WOS:000184867400002</t>
  </si>
  <si>
    <t>Creasey, DJ; Evans, GE; Heard, DE; Lee, JD</t>
  </si>
  <si>
    <t>Measurements of OH and HO2 concentrations in the Southern Ocean marine boundary layer -: art. no. 4475</t>
  </si>
  <si>
    <t>hydroxyl radical; HO2 radical; laser-induced fluorescence; atmospheric photochemistry</t>
  </si>
  <si>
    <t>LASER-INDUCED FLUORESCENCE; CHARACTERIZATION EXPERIMENT ACE-1; PEM-TROPICS-B; TROPOSPHERIC OH; ATMOSPHERIC CHEMISTRY; OZONE PHOTOCHEMISTRY; PEROXY-RADICALS; LIF INSTRUMENT; MACE-HEAD; AIR</t>
  </si>
  <si>
    <t>Field measurements of hydroxyl (OH) and hydroperoxy (HO2) radicals have been made in the remote Southern Ocean marine boundary layer at the Cape Grim Baseline Air Pollution Station in northwestern Tasmania. Measurements were made with a time resolution of 30 s over a period of 4 weeks during austral summer 1999 in the second Southern Ocean Photochemistry Experiment. Laser-induced fluorescence at reduced pressure was used to measure [OH] with an average detection limit at noon of (1.4 +/- 0.5) x 10(5) molecule cm(-3) (1sigma), for a 2.5 min integration period, and HO2 was measured following its conversion to OH via the addition of NO, with an average detection limit of (5.4 +/- 1.7) x 10(5) molecule cm(-3) (1sigma). Air masses arriving at Cape Grim originated from the Australian continent, Tasmania, and Southern Ocean/Antarctic regions, the latter (Baseline'' air) characterized by extremely low [NO] allowing a study of the chemistry of the unperturbed background atmosphere. In Baseline air, daytime average maxima for OH and HO2 of 3.5 x 10(6) molecule cm(-3) (0.14 parts per trillion by volume (pptv)) and 2 x 10(8) molecule cm(-3) (8 pptv) were observed, and a very high correlation coefficient (r = 0.95) was observed between the OH concentration and the rate of OH production from ozone photolysis. A steady state expression for OH, assuming production only from ozone photolysis and loss only by reaction with CO and CH4, overestimates the observed daytime maximum concentration in Baseline air by 20%. The HO2 concentration was found to depend upon the square root of the rate of O-3 photolysis, as expected at very low concentrations of NO.</t>
  </si>
  <si>
    <t>Univ Leeds, Dept Chem, Leeds LS2 9JT, W Yorkshire, England</t>
  </si>
  <si>
    <t>University of Leeds</t>
  </si>
  <si>
    <t>Univ Leeds, Dept Chem, Leeds LS2 9JT, W Yorkshire, England.</t>
  </si>
  <si>
    <t>dave@psplc.com; dwayneh@chem.leeds.ac.uk; james1@chem.leeds.ac.uk</t>
  </si>
  <si>
    <t>Heard, Dwayne/M-3624-2017</t>
  </si>
  <si>
    <t>Heard, Dwayne/0000-0002-0357-6238</t>
  </si>
  <si>
    <t>D15</t>
  </si>
  <si>
    <t>10.1029/2002JD003206</t>
  </si>
  <si>
    <t>713PX</t>
  </si>
  <si>
    <t>WOS:000184868100002</t>
  </si>
  <si>
    <t>Kaiser, J; Röckmann, T; Brenninkmeijer, CAM</t>
  </si>
  <si>
    <t>Complete and accurate mass spectrometric isotope analysis of tropospheric nitrous oxide -: art. no. 4476</t>
  </si>
  <si>
    <t>ATMOSPHERIC CARBON-MONOXIDE; N-15 ABUNDANCE MEASUREMENTS; O-17/O-16 RATIOS; N2O; FRACTIONATION; OXYGEN; O-18/O-16; STANDARD; WATER; STRATOSPHERE</t>
  </si>
  <si>
    <t>We describe a manual extraction and purification method for mass spectrometric isotope analyses of tropospheric N2O. A theoretical framework to correct for (hydro)fluorocarbon and CO2 interferences is developed and verified experimentally. The standard deviation for analysis of one sample on a single day is 0.05parts per thousand for delta(15)N and delta(18)O and 0.2parts per thousand for the relative enrichment of the terminal ((1)delta(5)N) and central ((2)delta(5)N) nitrogen atoms. The isotopic composition of N2O in tropospheric background air could thus be measured with unprecedented precision on samples from six locations. We obtained overall average values of delta(15)N = (6.72 +/- 0.12)parts per thousand versus air N-2 and delta(18)O = (44.62 +/- 0.21)parts per thousand versus Vienna Standard Mean Ocean Water. Neither a clear spatial pattern from 28degreesN to 79degreesN, nor a temporal trend over the course of 2 years was found. Within the experimental uncertainties, this is in line with small trends of 0.02 to 0.04parts per thousand/a derived from analyses of Antarctic firn air and isotopic budget calculations. Using an independent (2)delta(15)N calibration of our working standard versus air N-2, we find large differences in the position-dependent N-15/N-14 ratios: The mean for all samples is (1)delta(15)N = (-15.8 +/- 0.6)parts per thousand and (2)delta(15)N = (29.2 +/- 0.6)parts per thousand versus air N-2. In light of a new definition for oxygen isotope anomalies, we reevaluate the existing measurements and derive a O-17 excess of Delta O-17 = (0.9 +/- 0.1)parts per thousand.</t>
  </si>
  <si>
    <t>Max Planck Inst Chem, Abt Chem Atmosphare, D-55020 Mainz, Germany; Max Planck Inst Kernphys, Bereich Atmospharenphys, D-69117 Heidelberg, Germany</t>
  </si>
  <si>
    <t>Max Planck Society; Max Planck Society</t>
  </si>
  <si>
    <t>Kaiser, J (corresponding author), Princeton Univ, Dept Geosci, Princeton, NJ 08540 USA.</t>
  </si>
  <si>
    <t>kaiser@princeton.edu</t>
  </si>
  <si>
    <t>Kaiser, Jan/D-3327-2009; Brenninkmeijer, Carl/B-6860-2013; Rockmann, Thomas/F-4479-2015</t>
  </si>
  <si>
    <t>Kaiser, Jan/0000-0002-1553-4043; Rockmann, Thomas/0000-0002-6688-8968</t>
  </si>
  <si>
    <t>10.1029/2003JD003613</t>
  </si>
  <si>
    <t>WOS:000184868100004</t>
  </si>
  <si>
    <t>Nicholls, KW; Padman, L; Schröder, M; Woodgate, RA; Jenkins, A; Osterhus, S</t>
  </si>
  <si>
    <t>Water mass modification over the continental shelf north of Ronne Ice Shelf, Antarctica -: art. no. 3260</t>
  </si>
  <si>
    <t>Weddell Sea; High-Salinity Shelf Water; Antarctic Bottom Water; Ice Shelf Water; Ronne Ice Shelf; basal melt rate</t>
  </si>
  <si>
    <t>SOUTHERN WEDDELL SEA; BOTTOM WATER; OCEAN INTERACTION; BENEATH; CIRCULATION; HYDROGRAPHY; TRANSPORT; CURRENTS; POLYNYA</t>
  </si>
  <si>
    <t>We use new data from the southern Weddell Sea continental shelf to describe water mass conversion processes in a formation region for cold and dense precursors of Antarctic Bottom Water. The cruises took place in early 1995, 1998, and 1999, and the time series obtained from moored instruments were up to 30 months in length, starting in 1995. We obtained new bathymetric data that greatly improve our definition of the Ronne Depression, which is now shown to be limited to the southwestern continental shelf and so cannot act as a conduit to northward flow from Ronne Ice Front. Large-scale intrusions of Modified Warm Deep Water (MWDW) onto the continental shelf occur along much of the shelf break, although there is only one location where the MWDW extends as far south as Ronne Ice Front. High-Salinity Shelf Water (HSSW) produced during the winter months dominates the continental shelf in the west. During summer, Ice Shelf Water (ISW) exits the subice cavity on the eastern side of the Ronne Depression, flows northwest along the ice front, and reenters the cavity at the ice front's western limit. During winter the ISW is not observed in the Ronne Depression north of the ice front. The flow of HSSW into the subice cavity via the Ronne Depression is estimated to be 0.9+/-0.3 Sv. When combined with inflows along the remainder of Ronne Ice Front (reported elsewhere), sufficient heat is transported beneath the ice shelf to power an average basal melt rate of 0.34+/-0.1 m yr(-1).</t>
  </si>
  <si>
    <t>British Antarctic Survey, NERC, Cambridge CB3 0ET, England; Univ Bergen, Inst Geophys, N-5007 Bergen, Norway; Earth &amp; Space Res, Seattle, WA 98102 USA; Alfred Wegener Inst Polar &amp; Marine Res, D-27515 Bremerhaven, Germany; Univ Washington, Appl Phys Lab, Polar Sci Ctr, Seattle, WA 98105 USA; Univ Bergen, Bjerknes Ctr Climat Res, N-5007 Bergen, Norway</t>
  </si>
  <si>
    <t>UK Research &amp; Innovation (UKRI); Natural Environment Research Council (NERC); NERC British Antarctic Survey; University of Bergen; Helmholtz Association; Alfred Wegener Institute, Helmholtz Centre for Polar &amp; Marine Research; University of Washington; University of Washington Seattle; Bjerknes Centre for Climate Research; University of Bergen</t>
  </si>
  <si>
    <t>kwni@bas.ac.uk; padman@esr.org; woodgate@apl.washington.edu; ajen@bas.ac.uk; svein.osterhus@gfi.uib.no</t>
  </si>
  <si>
    <t>Padman, Laurence/AAH-3808-2021; Jenkins, Adrian/IUN-2406-2023</t>
  </si>
  <si>
    <t>Padman, Laurence/0000-0003-2010-642X; Jenkins, Adrian/0000-0002-9117-0616</t>
  </si>
  <si>
    <t>10.1029/2002JC001713</t>
  </si>
  <si>
    <t>713QH</t>
  </si>
  <si>
    <t>WOS:000184869100002</t>
  </si>
  <si>
    <t>Dunbar, NW; Zielinski, GA; Voisins, DT</t>
  </si>
  <si>
    <t>Tephra layers in the Siple Dome and Taylor Dome ice cores, Antarctica: Sources and correlations</t>
  </si>
  <si>
    <t>EXPLOSIVE VOLCANISM; WEST ANTARCTICA; VICTORIA LAND; GREENLAND; SHEET; RECORDS; HISTORY; VOSTOK; ASH</t>
  </si>
  <si>
    <t>Volcanic ash, or tephra layers, are found in the Taylor Dome, Siple Dome A, and Siple Dome B ice cores. Significant shard concentrations are found at a number of depths in all three cores. Electron and ion microprobe analyses indicate that the geochemical composition of most layers is basaltic, basanitic, or trachytic, and the geochemical signatures of the layers suggest derivation from the Pleiades volcanic center, Mt. Melbourne volcano, or small mafic centers, probably in the Royal Society Range area. Presence of tephra layers suggests an episode of previously unrecognized Antarctic volcanic activity between 1776 and 1805 A. D., from at least two volcanic centers. A strong geochemical correlation (D = 3.49 and 3.97 with a value of 4 considered identical) is observed between tephra layers at depth of 79.2 m in the Taylor Dome ice core, and layers between 97.2 and 97.7 m depth in the Siple B core. This correlation, and the highly accurate depth-age scale of the Siple B core suggest that the age of this horizon in the Taylor Dome ice core presented by Steig et al. [1998a, 2000] should be revised downward, to the younger age of 675 +/- 25 years before 1995. This revised chronology is consistent with vertical strain measurements presented by Hawley et al. [2003].</t>
  </si>
  <si>
    <t>New Mexico Inst Min &amp; Technol, E&amp;ES Dept, NMBGMR, Socorro, NM 87801 USA; Univ New Hampshire, Climate Change Res Ctr, Durham, NH 03824 USA; Univ Maine, Climate Change Inst, Orono, ME 04469 USA</t>
  </si>
  <si>
    <t>New Mexico Institute of Mining Technology; University System Of New Hampshire; University of New Hampshire; University of Maine System; University of Maine Orono</t>
  </si>
  <si>
    <t>New Mexico Inst Min &amp; Technol, E&amp;ES Dept, NMBGMR, Socorro, NM 87801 USA.</t>
  </si>
  <si>
    <t>nelia@nmt.edu</t>
  </si>
  <si>
    <t>Dunbar, Nelia W./HZL-8693-2023</t>
  </si>
  <si>
    <t>Dunbar, Nelia W./0000-0002-5181-937X</t>
  </si>
  <si>
    <t>B8</t>
  </si>
  <si>
    <t>10.1029/2002JB002056</t>
  </si>
  <si>
    <t>713QP</t>
  </si>
  <si>
    <t>WOS:000184869700001</t>
  </si>
  <si>
    <t>Enderlein, P; Moorthi, S; Röhrscheidt, H; Wahl, M</t>
  </si>
  <si>
    <t>Optimal foraging versus shared doom effects:: interactive influence of mussel size and epibiosis on predator preference</t>
  </si>
  <si>
    <t>JOURNAL OF EXPERIMENTAL MARINE BIOLOGY AND ECOLOGY</t>
  </si>
  <si>
    <t>predator-prey interaction; epibiosis; Carcinus maenas; Mytilus edulis; Balanus improvisus; optimal foraging; predation preference</t>
  </si>
  <si>
    <t>CARCINUS-MAENAS L.; MYTILUS-EDULIS; SHORE CRAB; BEHAVIORAL MECHANISMS; DECAPOD CRUSTACEANS; ESCAPE RESPONSE; PREY SIZE; SELECTION; PERSISTENCE; RESISTANCE</t>
  </si>
  <si>
    <t>In the western Baltic Sea, the highly competitive blue mussel Mytilus edulis tends to monopolize shallow water hard substrata. In many habitats, mussel dominance is mainly controlled by the generalist predator Carcinus maenas. These predator-prey interactions seem to be affected by mussel size (relative to crab size) and mussel epibionts. There is a clear relationship between prey size and predator size as suggested by the optimal foraging theory: Each crab size class preferentially preys on a certain mussel size class. Preferred prey size increases with crab size. Epibionts on Mytilus, however, influence this simple pattern of feeding preferences by crabs. When offered similarly sized mussels, crabs prefer Balanus-fouled mussels over clean mussels. There is, however, a hierarchy of factors: the influence of attractive epibiotic barnacles is weaker than the factor 'mussel size'. Testing small mussels against large mussels, presence or absence of epibiotic barnacles does not significantly alter preferences caused by mussel size. Balanus enhanced crab predation on mussels in two ways: Additional food gain and, probably more important, improvement in handling of the prey. The latter effect is illustrated by the fact that artificial barnacle mimics increased crab predation on mussels to the same extent as do live barnacles. We conclude that crab predation preferences follows the optimal foraging model when prey belong to different size classes, whereas within size classes crab preferences is controlled by epibionts. (C) 2003 Elsevier Science B.V. All fights reserved.</t>
  </si>
  <si>
    <t>Inst Marine Sci, D-24105 Kiel, Germany</t>
  </si>
  <si>
    <t>British Antarctic Survey, NERC, High Cross Madingley Rd, Cambridge CB3 0ET, England.</t>
  </si>
  <si>
    <t>pend@bas.ac.uk</t>
  </si>
  <si>
    <t>Moorthi, Stefanie D/A-5944-2011; Wahl, Martin/D-2038-2016</t>
  </si>
  <si>
    <t>Wahl, Martin/0000-0001-8703-3857</t>
  </si>
  <si>
    <t>0022-0981</t>
  </si>
  <si>
    <t>1879-1697</t>
  </si>
  <si>
    <t>J EXP MAR BIOL ECOL</t>
  </si>
  <si>
    <t>J. Exp. Mar. Biol. Ecol.</t>
  </si>
  <si>
    <t>AUG 12</t>
  </si>
  <si>
    <t>10.1016/S0022-0981(03)00199-0</t>
  </si>
  <si>
    <t>699DN</t>
  </si>
  <si>
    <t>WOS:000184040800008</t>
  </si>
  <si>
    <t>Gregg, WW; Conkright, ME; Ginoux, P; O'Reilly, JE; Casey, NW</t>
  </si>
  <si>
    <t>Ocean primary production and climate: Global decadal changes</t>
  </si>
  <si>
    <t>PACIFIC-OCEAN; CHLOROPHYLL; PHYTOPLANKTON; CYCLE; CO2</t>
  </si>
  <si>
    <t>Satellite-in situ blended ocean chlorophyll records indicate that global ocean annual primary production has declined more than 6% since the early 1980's. Nearly 70% of the global decadal decline occurred in the high latitudes. In the northern high latitudes, these reductions in primary production corresponded with increases in sea surface temperature and decreases in atmospheric iron deposition to the oceans. In the Antarctic, the reductions were accompanied by increased wind stress. Three of four low latitude basins exhibited decadal increases in annual primary production. These results indicate that ocean photosynthetic uptake of carbon may be changing as a result of climatic changes and suggest major implications for the global carbon cycle.</t>
  </si>
  <si>
    <t>NASA, Goddard Space Flight Ctr, Lab Hydrospher Proc, Greenbelt, MD 20771 USA; NOAA, Natl Oceanog Data Ctr, Ocean Climate Lab, Silver Spring, MD 20910 USA; Princeton Univ, NOAA, Geophys Fluid Dynam Lab, Princeton, NJ 08542 USA; NOAA, Natl Marine Fisheries Serv, Narragansett Lab, Narragansett, RI 02882 USA; Sci Syst &amp; Applicat Inc, Lanham, MD 20706 USA</t>
  </si>
  <si>
    <t>National Aeronautics &amp; Space Administration (NASA); NASA Goddard Space Flight Center; National Oceanic Atmospheric Admin (NOAA) - USA; National Oceanic Atmospheric Admin (NOAA) - USA; Princeton University; National Oceanic Atmospheric Admin (NOAA) - USA; Science Systems and Applications Inc</t>
  </si>
  <si>
    <t>Gregg, WW (corresponding author), NASA, Goddard Space Flight Ctr, Lab Hydrospher Proc, Greenbelt, MD 20771 USA.</t>
  </si>
  <si>
    <t>Ginoux, Paul/C-2326-2008</t>
  </si>
  <si>
    <t>Ginoux, Paul/0000-0003-3642-2988; Casey, Nancy/0009-0001-7709-889X</t>
  </si>
  <si>
    <t>AUG 9</t>
  </si>
  <si>
    <t>10.1029/2003GL016889</t>
  </si>
  <si>
    <t>712PA</t>
  </si>
  <si>
    <t>WOS:000184805000001</t>
  </si>
  <si>
    <t>Hodgson, DA; McMinn, A; Kirkup, H; Cremer, H; Gore, D; Melles, M; Roberts, D; Montiel, P</t>
  </si>
  <si>
    <t>Colonization, succession, and extinction of marine floras during a glacial cycle: A case study from the Windmill Islands (east Antarctica) using biomarkers</t>
  </si>
  <si>
    <t>Antarctic; Quaternary; flora; glaciation; ice shelves</t>
  </si>
  <si>
    <t>QUATERNARY DIATOM ASSEMBLAGES; FOSSIL PIGMENTS; ICE-CORE; LAW-DOME; ELLIS FJORD; BUDD COAST; SEA-ICE; PHYTOPLANKTON; SEDIMENTS; LAKE</t>
  </si>
  <si>
    <t>With the exception of the diatoms, little is known of the extinction, colonization, and succession of marine floras during glacial cycles. Here we study both morphological and biochemical fossils in two sediment cores from the Antarctic to unravel the sequence of events over a single glacial cycle. The cores, from the nearshore continental shelf off the Windmill Islands (66degreesS, 110degreesE), east Antarctica, span the period from Marine Isotope Stage 3 or earlier to the present. New high-performance liquid chromatography and mass spectrometry methods were used to study fossil pigments with additional data from siliceous microfossils, lithological analyses, and radiocarbon dates. Results show two response processes. First, there is the large-scale impact of the expanding ice sheet in removing the flora from the inner shelf, primarily through the denial of light, destabilization of the substratum, and elimination of habitats. Second, there are a number of glacial climate interactions that have a surprisingly strong influence on recolonization and succession. These include sea ice extent and the proximity of the ice edge, the annual duration of open water, the stabilization of the substratum first by benthic diatoms and later by macrophyte algae, and relative sea level. A period of warmer climate in the mid-Holocene had a considerable influence on the composition and species diversity of the marine flora. These are the first data on the timing of colonization and succession of marine floras over a glacial cycle based on both morphological and biochemical fossils.</t>
  </si>
  <si>
    <t>British Antarctic Survey, NERC, Cambridge CB3 0ET, England; Univ Tasmania, Inst Antarctic &amp; So Ocean Studies, Hobart, Tas 7001, Australia; Macquarie Univ, Dept Phys Geog, Sydney, NSW 2109, Australia; Univ Utrecht, Fac Biol, Dept Geobiol, Bot Palaeoecol, NL-3584 CD Utrecht, Netherlands; Univ Leipzig, Fac Phys &amp; Geosci, Inst Geol &amp; Geophys, D-04103 Leipzig, Germany</t>
  </si>
  <si>
    <t>UK Research &amp; Innovation (UKRI); Natural Environment Research Council (NERC); NERC British Antarctic Survey; University of Tasmania; Macquarie University; Utrecht University; Leipzig University</t>
  </si>
  <si>
    <t>Hodgson, DA (corresponding author), British Antarctic Survey, NERC, High Cross,Madingley Rd, Cambridge CB3 0ET, England.</t>
  </si>
  <si>
    <t>McMinn, Andrew/A-9910-2008; Melles, Martin/J-4070-2012</t>
  </si>
  <si>
    <t>Melles, Martin/0000-0003-0977-9463; Gore, Damian/0000-0002-0377-8518; Roberts, Donna/0000-0001-6701-6662</t>
  </si>
  <si>
    <t>10.1029/2002PA000775</t>
  </si>
  <si>
    <t>712YN</t>
  </si>
  <si>
    <t>WOS:000184827300001</t>
  </si>
  <si>
    <t>Ehira, S; Hamano, T; Hayashida, T; Kojima, K; Nakamoto, H; Hiyama, T; Ohmori, M; Shivaji, S; Sato, N</t>
  </si>
  <si>
    <t>Conserved temperature-dependent expression of RNA-binding proteins in cyanobacteria with different temperature optima</t>
  </si>
  <si>
    <t>FEMS MICROBIOLOGY LETTERS</t>
  </si>
  <si>
    <t>RNA-binding protein; cold-regulation; 5 '-UTR; cyanobacteria</t>
  </si>
  <si>
    <t>ANABAENA-VARIABILIS M3; GENE; SYNECHOCYSTIS; SEQUENCE; PATHWAY; FAMILY; RBPA1</t>
  </si>
  <si>
    <t>The expression of the rhp genes, which encode small RNA-binding proteins with a single RNA-recognition motif, is known to increase at low temperature in Anabaena variabilis M3. The 5'-untranslated region (UTR) of the rbpA1 gene is involved in the cold-regulation. We compared the regulation of the rbp genes in three strains of cyanobacteria having different temperature optima, namely, a mesophilic strain Anabaena sp. PCC 7120, a thermophilic strain Thermosynechococcus elongatus BP-1, and a psychrophilic Antarctic strain Oscillatoria sp. SU1. In Anabaena 7120 and T elongatus, all the rbp gene sequences are known, and the 5'-UTR sequences of some rbp genes have a high similarity to the 5'-UTR of rbpA1. We found that transcripts as well as protein products of these rbp genes accumulated at low temperature. In addition, the expression of rhp genes increased at low temperature in the Oscillatoria sp. SU1. This suggests that a mechanism of cold-regulation of rbp genes is common among various species of cyanobacteria that belong to different taxa and have different temperature optima. (C) 2003 Published by Elsevier Science B.V. on behalf of the Federation of European Microbiological Societies.</t>
  </si>
  <si>
    <t>Saitama Univ, Fac Sci, Dept Biol Mol, Saitama 3388570, Japan; Univ Tokyo, Grad Sch Arts &amp; Sci, Dept Life Sci, Meguro Ku, Tokyo 1538902, Japan; Ctr Cellular &amp; Mol Biol, Hyderabad 500007, Andhra Pradesh, India</t>
  </si>
  <si>
    <t>Saitama University; University of Tokyo; Council of Scientific &amp; Industrial Research (CSIR) - India; CSIR - Centre for Cellular &amp; Molecular Biology (CCMB)</t>
  </si>
  <si>
    <t>Sato, N (corresponding author), Saitama Univ, Fac Sci, Dept Biol Mol, 255 Shimo Ohkubo, Saitama 3388570, Japan.</t>
  </si>
  <si>
    <t>Kojima, Kouji/L-8180-2013; Nakamoto, Hitoshi/H-5315-2012; Ehira, Shigeki/D-6081-2013</t>
  </si>
  <si>
    <t>Ehira, Shigeki/0000-0002-4121-7367; Sato, Naoki/0000-0001-6230-0410; shivaji, sisinthy/0000-0003-0376-4658</t>
  </si>
  <si>
    <t>0378-1097</t>
  </si>
  <si>
    <t>FEMS MICROBIOL LETT</t>
  </si>
  <si>
    <t>FEMS Microbiol. Lett.</t>
  </si>
  <si>
    <t>AUG 8</t>
  </si>
  <si>
    <t>10.1016/S0378-1097(03)00503-2</t>
  </si>
  <si>
    <t>710DN</t>
  </si>
  <si>
    <t>WOS:000184665700020</t>
  </si>
  <si>
    <t>Ingle, S; Weis, D; Doucet, S; Mattielli, N</t>
  </si>
  <si>
    <t>Hf isotope constraints on mantle sources and shallow-level contaminants during Kerguelen hot spot activity since ≈120 Ma -: art. no. 1068</t>
  </si>
  <si>
    <t>kerguelen hot spot; large igneous provinces; Hf isotopes; Indian Ocean; ocean island basalt; Ocean Drilling Program; geochemistry : chemical evolution; geochemistry : composition of the mantle; geochemistry : isotopic composition/chemistry</t>
  </si>
  <si>
    <t>SOUTHERN INDIAN-OCEAN; AUSTRALIAN-ANTARCTIC DISCORDANCE; MIDOCEAN RIDGE BASALT; ND-PB-HF; DEPLETED MANTLE; BROKEN RIDGE; LU-HF; PERIDOTITE XENOLITHS; NINETYEAST RIDGE; HAFNIUM ISOTOPE</t>
  </si>
  <si>
    <t>[1] We report new Hf isotopic data for basalts from the Kerguelen large igneous province ( LIP) obtained using high-precision multicollector inductively coupled mass spectrometry (MC-ICP-MS) analysis. All drill sites from the southern Indian Ocean Kerguelen Plateau - Broken Ridge, in addition to two volcanic suites from the Kerguelen Archipelago, are represented. These new data are integrated with other recently reported geochemical data for this LIP. We examine the geochemical signatures of the mantle sources and shallow-level contaminants present during the past similar to 120 Ma history of Kerguelen hot spot activity. Our results highlight the contribution of distinct mantle source compositions during Cretaceous ( Kerguelen Plateau and Broken Ridge) and Cenozoic ( northernmost Kerguelen Plateau and Kerguelen Archipelago) magmatism arising from melting of the Kerguelen plume head and plume tail, respectively. The Cretaceous Kerguelen plume basalts have primitive mantle-like Pb, Sr, and Nd isotopic compositions and moderately depleted Hf isotopic compositions and are different from the Cenozoic plume basalts, which extend to more radiogenic Pb isotopic compositions. Neodymium and Hf isotopes are decoupled in Kerguelen plume-derived rocks, and this, in combination with their Pb isotopic compositions, implies that the Kerguelen plume contains small amounts of ancient pelagic sediment mixed with old, recycled enriched oceanic crust. Different contributions from pelagic sediments relative to oceanic crust are able to account for the distinction between the isotopic compositions of the Cretaceous and Cenozoic mantle plume sources. Assimilation of shallow-level continental crust, left stranded in the Indian Ocean during Gondwana breakup, by plume-derived magmas was the dominant process recorded in Cretaceous Kerguelen Plateau basalts. During the Cenozoic, magmas from the Kerguelen plume mixed to varying degrees with local, Indian Ocean depleted upper mantle and assimilated the overlying Cretaceous Kerguelen Plateau lithosphere. Despite the geochemical heterogeneity of the Kerguelen LIP, we find evidence for a finite number of components involved in the genesis of Kerguelen Plateau - Broken Ridge and Kerguelen Archipelago rocks.</t>
  </si>
  <si>
    <t>Free Univ Brussels, Fac Sci, Dept Earth &amp; Environm Sci, B-1050 Brussels, Belgium</t>
  </si>
  <si>
    <t>Universite Libre de Bruxelles</t>
  </si>
  <si>
    <t>Ingle, S (corresponding author), Tokyo Inst Technol, Dept Earth &amp; Planetary Sci, Meguro Ku, 2-12-1 Ookayama, Tokyo 1528551, Japan.</t>
  </si>
  <si>
    <t>Weis, Dominique A/Q-7658-2016</t>
  </si>
  <si>
    <t>Weis, Dominique A/0000-0002-6638-5543; Mattielli, Nadine/0000-0002-7170-1520</t>
  </si>
  <si>
    <t>10.1029/2002GC000482</t>
  </si>
  <si>
    <t>712NU</t>
  </si>
  <si>
    <t>WOS:000184804400003</t>
  </si>
  <si>
    <t>Lourey, MJ; Trull, TW; Sigman, DM</t>
  </si>
  <si>
    <t>Sensitivity of δ15N of nitrate, surface suspended and deep sinking particulate nitrogen to seasonal nitrate depletion in the Southern Ocean -: art. no. 1081</t>
  </si>
  <si>
    <t>nitrate; particulate nitrogen; Subantarctic</t>
  </si>
  <si>
    <t>POLAR FRONTAL ZONES; GLACIAL-INTERGLACIAL CHANGES; ISOTOPIC COMPOSITION; AUSTRALIAN SECTOR; ATMOSPHERIC CO2; PHYTOPLANKTON GROWTH; INDIAN SECTOR; FRACTIONATION; CARBON; MARINE</t>
  </si>
  <si>
    <t>[1] We report measurements of the delta(15)N of nitrate, suspended particulate nitrogen (PN), and sinking PN from cruises and moored sediment traps in the Subantarctic Zone (SAZ) and Polar Frontal Zone (PFZ) south of Australia. As expected, surface water nitrate delta(15)N increased as nitrate was consumed during the spring/summer bloom. In contrast, the seasonal cycles of surface water suspended and sinking PN delta(15)N did not fit expectations from nitrate assimilation alone. Rather than increasing, the delta(15)N of surface suspended PN was relatively constant in the SAZ (at similar to1parts per thousand), and decreased during the summer in the PFZ (from similar to0 to similar to -4parts per thousand), most likely due to the production of low N-15 PN by summertime ammonium recycling. Deep sediment trap PN delta(15)N also displayed seasonal decreases (from similar to4 to similar to1parts per thousand in the SAZ, and from similar to3.5 to similar to0.5parts per thousand in the PFZ), which correlated with PON flux magnitude. During high-flux periods, exported PN delta(15)N values were close to expectations from nitrate-based export, but low-flux periods exhibited higher delta(15)N, consistent with either a reduction in the isotope effect of nitrate assimilation or more extensive isotopic alteration of the sinking material during low-flux periods. The mass balance between net nitrate supply and exported PN that links sinking flux delta(15)N to nitrate utilization requires only that the annually integrated ( rather than the seasonally varying) sinking flux of PN delta(15)N correlates with nitrate depletion. While a correlation between annually integrated sinking PN delta(15)N to nitrate depletion was observed in both the SAZ and PFZ, the sensitivity of sinking PN delta(15)N to nitrate depletion was lower than expected. Moreover, the seasonal observations raise the possibility that loss of the summertime high-flux period represents an alternative explanation to increased nitrate utilization for the high sedimentary PN delta(15)N observed during glacial periods.</t>
  </si>
  <si>
    <t>Univ Tasmania, Antarctic Cooperat Res Ctr, Hobart, Tas, Australia; Univ Tasmania, Inst Antarctic &amp; So Ocean Studies, Hobart, Tas 7001, Australia; Princeton Univ, Dept Geosci, Princeton, NJ 08544 USA</t>
  </si>
  <si>
    <t>University of Tasmania; University of Tasmania; Princeton University</t>
  </si>
  <si>
    <t>Univ Tasmania, Antarctic Cooperat Res Ctr, Private Bag 80, Hobart, Tas, Australia.</t>
  </si>
  <si>
    <t>martin.lourey@csiro.au; tom.trull@utas.edu.au; sigman@geo.princeton.edu</t>
  </si>
  <si>
    <t>Sigman, Daniel M./IYJ-2613-2023; Sigman, Daniel M./A-2649-2008; Trull, Tom W/B-7028-2014</t>
  </si>
  <si>
    <t>Sigman, Daniel M./0000-0002-7923-1973;</t>
  </si>
  <si>
    <t>10.1029/2002GB001973</t>
  </si>
  <si>
    <t>712PE</t>
  </si>
  <si>
    <t>WOS:000184805400001</t>
  </si>
  <si>
    <t>Mortyn, PG; Charles, CD; Ninnemann, US; Ludwig, K; Hodell, DA</t>
  </si>
  <si>
    <t>Deep sea sedimentary analogs for the Vostok ice core</t>
  </si>
  <si>
    <t>paleoclimatology; oceanography : general : paleoceanography; meteorology and atmospheric dynamics : paleoclimatology</t>
  </si>
  <si>
    <t>ANTARCTIC SOUTH ATLANTIC; ATMOSPHERIC CO2; CLIMATE-CHANGE; OCEAN; RECORD; GREENLAND; KYR; TEMPERATURE; AGES; PRECIPITATION</t>
  </si>
  <si>
    <t>Many applications of the Vostok ice core depend critically on the ability to make stratigraphic ties to marine records in the adjacent Southern Ocean. Here we present oxygen isotopic records from high accumulation rate sites in the South Atlantic sector of the Southern Ocean, collected for the purpose of complementing the recently extended deltaD record from the Vostok ice core. The combination of several planktonic foraminiferal delta(18)O records from northern subantarctic piston cores demonstrates that all of the millennial-scale oscillations expressed in the Vostok ice core over the last 60 ky are also present in marine records. The observations also support the assumption that the millennial-scale oscillations common to both marine and ice archives are synchronous, thus providing a rationale for extending the marine-ice core comparison through the last 400,000 years, making use of a marine drilled core (ODP Site 1089). By aligning the phase of these common abrupt events, we anchor the Vostok chronology to an orbitally tuned marine sediment chronology-a refinement that allows examination of a variety of paleoclimatological issues such as the relationship between deep ocean variability and Antarctic polar climate. For example, this exercise suggests that, over at least the 4 major deglaciation events, the primary (orbital scale) changes in the chemistry and, most likely, the temperature of the deep Southern ocean were synchronous with changes in atmospheric pCO(2) and polar air temperatures. We also find that the deuterium excess in the ice core resembles marine (foraminiferal) delta(13)C records and that the deuterium excess is synchronous with an anomalous'' foraminiferal delta(18)O signal ( the residual between normalized versions of Vostok deltaD and foraminiferal delta(18)O). These observations demand a tight link between the Vostok isotopic record and the air-sea interaction of the subantarctic zone.</t>
  </si>
  <si>
    <t>Scripps Inst Oceanog, La Jolla, CA 92037 USA; Univ Florida, Dept Geol Sci, Gainesville, FL 32611 USA</t>
  </si>
  <si>
    <t>University of California System; University of California San Diego; Scripps Institution of Oceanography; State University System of Florida; University of Florida</t>
  </si>
  <si>
    <t>Calif State Univ Fresno, Dept Earth &amp; Environm Sci, MH-24, Fresno, CA 93740 USA.</t>
  </si>
  <si>
    <t>ccharles@ucsd.edu</t>
  </si>
  <si>
    <t>; Mortyn, P. Graham/I-3860-2015</t>
  </si>
  <si>
    <t>Hodell, David/0000-0001-8537-1588; Mortyn, P. Graham/0000-0002-9473-4309</t>
  </si>
  <si>
    <t>AUG 7</t>
  </si>
  <si>
    <t>10.1029/2002GC000475</t>
  </si>
  <si>
    <t>712NR</t>
  </si>
  <si>
    <t>WOS:000184804200002</t>
  </si>
  <si>
    <t>Santee, ML; Manney, GL; Waters, JW; Livesey, NJ</t>
  </si>
  <si>
    <t>Variations and climatology of ClO in the polar lower stratosphere from UARS Microwave Limb Sounder measurements</t>
  </si>
  <si>
    <t>Microwave Limb Sounder (MLS); Upper Atmosphere Research Satellite (UARS); chlorine activation; chlorine monoxide (ClO); stratospheric chemistry; polar processing</t>
  </si>
  <si>
    <t>MILLIMETER-WAVE MEASUREMENTS; GROUND-BASED MEASUREMENTS; ANTARCTIC SPRING VORTEX; IN-SITU MEASUREMENTS; OZONE LOSS; CHLORINE MONOXIDE; HETEROGENEOUS CHEMISTRY; MLS OBSERVATIONS; MCMURDO-STATION; INTERHEMISPHERIC DIFFERENCES</t>
  </si>
  <si>
    <t>The Microwave Limb Sounder (MLS) on board the Upper Atmosphere Research Satellite (UARS) measured the global distribution of stratospheric ClO over annual cycles for much of the 1990s, albeit with reduced sampling frequency in the latter half of the decade. Here we present an overview of the interannual and interhemispheric variations in the distribution of ClO derived from UARS MLS measurements, with a particular emphasis on enhancements in the winter polar lower stratosphere. Although ClO enhancement within the Arctic vortex is comparable in both magnitude and spatial extent to that in the Antarctic at 465 K (similar to19 km), a significant interhemispheric disparity is seen at higher altitudes, where maximum ClO abundances, and their spatial extent, are considerably larger in the Antarctic than in the Arctic. The Arctic exhibits much more interannual variability in the magnitude, timing, and distribution of ClO enhancement than does the Antarctic. Nevertheless, during the mid-1990s, when the Arctic lower stratosphere was atypically cold, MLS observed the Arctic vortex to be almost completely filled with enhanced ClO in midwinter to late winter. The peak in the ClO profile is at a higher altitude, and the vertical extent of chlorine activation is larger, in the Antarctic than in the Arctic. The Arctic winter of 1995/1996, however, stands out as having a much more Antarctic-like ClO distribution, with larger maximum ClO abundances, a higher altitude for the profile peak, and greater horizontal and vertical extent of activation than the other winters observed by UARS MLS. In the Southern Hemisphere, ClO becomes enhanced in the sunlit portions of the vortex by at least late May/early June every year, whereas in the Northern Hemisphere, ClO becomes enhanced in mid to late December in some years but not until January in others. Elevated levels of reactive chlorine persist for 4-5 months in the south but only 2-3 months in the north.</t>
  </si>
  <si>
    <t>CALTECH, Jet Prop Lab, Pasadena, CA 91109 USA; New Mexico Highlands Univ, Dept Nat Sci, Las Vegas, NM 87701 USA</t>
  </si>
  <si>
    <t>California Institute of Technology; National Aeronautics &amp; Space Administration (NASA); NASA Jet Propulsion Laboratory (JPL)</t>
  </si>
  <si>
    <t>CALTECH, Jet Prop Lab, Mail Stop 183-701,4800 Oak Grove Dr, Pasadena, CA 91109 USA.</t>
  </si>
  <si>
    <t>mls@mls.jpl.nasa.gov; manney@mls.jpl.nasa.gov; joe@mls.jpl.nasa.gov; livesey@mls.jpl.nasa.gov</t>
  </si>
  <si>
    <t>Manney, Gloria/JED-7207-2023; Santee, MIchelle/R-5762-2019; Livesey, Nathaniel/AGQ-7257-2022</t>
  </si>
  <si>
    <t>10.1029/2002JD003335</t>
  </si>
  <si>
    <t>712PK</t>
  </si>
  <si>
    <t>WOS:000184805900005</t>
  </si>
  <si>
    <t>Nedoluha, GE; Bevilacqua, RM; Fromm, MD; Hoppel, KW; Allen, DR</t>
  </si>
  <si>
    <t>POAM measurements of PSCs and water vapor in the 2002 Antarctic vortex</t>
  </si>
  <si>
    <t>POLAR OZONE; AEROSOL; STRATOSPHERE; DEHYDRATION; INSTRUMENT; VALIDATION</t>
  </si>
  <si>
    <t>[1] We present Polar Ozone and Aerosol Measurement (POAM) PSC and water vapor measurements obtained in the Antarctic stratosphere in 2002, and compare these with POAM measurements from 1993 - 1996 and 1998 - 2002 (PSCs) and 1998 - 2002 ( water vapor). Through mid-September 2002 POAM observed significantly fewer PSCs than in other years. However, ice PSC observations were only slightly reduced from previous years, and the dehydration was similar to that observed from 1998 - 2001. After an unprecedented major warming in September 2002, POAM observed only very few PSCs. This sudden decline in PSC activity in 2002 occurred a full month earlier than in any previous POAM measurement years.</t>
  </si>
  <si>
    <t>USN, Res Lab, Washington, DC 20375 USA; Computat Phys Inc, Fairfax, VA 22031 USA</t>
  </si>
  <si>
    <t>United States Department of Defense; United States Navy; Naval Research Laboratory</t>
  </si>
  <si>
    <t>Nedoluha, GE (corresponding author), USN, Res Lab, Code 7227, Washington, DC 20375 USA.</t>
  </si>
  <si>
    <t>Fromm, Michael/F-4639-2010; Allen, Douglas Ray/GWZ-8901-2022</t>
  </si>
  <si>
    <t>Allen, Douglas/0000-0003-2747-9712</t>
  </si>
  <si>
    <t>AUG 6</t>
  </si>
  <si>
    <t>10.1029/2003GL017577</t>
  </si>
  <si>
    <t>712NX</t>
  </si>
  <si>
    <t>WOS:000184804700002</t>
  </si>
  <si>
    <t>Tuck, AF; Hovde, SJ; Gao, RS; Richard, EC</t>
  </si>
  <si>
    <t>Law of mass action in the Arctic lower stratospheric polar vortex January-March 2000: ClO scaling and the calculation of ozone loss rates in a turbulent fractal medium</t>
  </si>
  <si>
    <t>mass action; chlorine monoxide; fractal medium</t>
  </si>
  <si>
    <t>IN-SITU MEASUREMENTS; ANTARCTIC OZONE; NITROUS-OXIDE; SELF-REACTION; WINTER; DEPLETION; KINETICS; MODEL; CHEMISTRY; CHLORINE</t>
  </si>
  <si>
    <t>[1] We consider the effects of power law scaling in the 1999 - 2000 Arctic lower stratospheric vortex from the point of view of the law of mass action and its application to the chemical kinetics of ozone loss embedded in a turbulent, macroscopic, fractal medium. The ER-2 observations of ClO obey power law scaling; the exponent varies with time in a manner shown to be consistent with the scaling of NOy and O-3, via the influences of polar stratospheric clouds and actinic solar radiation. While the microscopic rate coefficient for ClO three-body recombination to the dimer applies as measured to three-dimensional volumes in which the sole transport mechanism is molecular diffusion, this cannot be true in the 2.56-dimensional space in which macroscopically fluctuating ClO reacts in the lower stratosphere. We show that the rate of loss of ozone via the ClO dimer mechanism is proportional to [ClO](2.20) in late January/early February and to [ClO](2.55) in March. Chemical ozone loss had already occurred by the date of the first flight, 20000120.</t>
  </si>
  <si>
    <t>NOAA, Aeron Lab, Boulder, CO 80305 USA; Univ Colorado, Cooperat Inst Res Environm Sci, Boulder, CO 80309 USA</t>
  </si>
  <si>
    <t>National Oceanic Atmospheric Admin (NOAA) - USA; University of Colorado System; University of Colorado Boulder</t>
  </si>
  <si>
    <t>Tuck, AF (corresponding author), NOAA, Aeron Lab, Boulder, CO 80305 USA.</t>
  </si>
  <si>
    <t>tuck@al.noaa.gov</t>
  </si>
  <si>
    <t>Tuck, Adrian/F-6024-2011; Gao, Ru-Shan/H-7455-2013</t>
  </si>
  <si>
    <t>Tuck, Adrian/0000-0002-2074-0538; Gao, Ru-Shan/0000-0001-6985-1637</t>
  </si>
  <si>
    <t>AUG 5</t>
  </si>
  <si>
    <t>10.1029/2002JD002832</t>
  </si>
  <si>
    <t>712PH</t>
  </si>
  <si>
    <t>WOS:000184805700003</t>
  </si>
  <si>
    <t>Wendt, AS; Bayuk, IO; Covey-Crump, SJ; Wirth, R; Lloyd, GE</t>
  </si>
  <si>
    <t>An experimental and numerical study of the microstructural parameters contributing to the seismic anisotropy of rocks</t>
  </si>
  <si>
    <t>elastic rock properties; microstructures; seismic velocity anisotropy; Ponte Castaneda and Willis method</t>
  </si>
  <si>
    <t>EFFECTIVE ELASTIC-MODULI; UPPER-MANTLE; COMPOSITE-MATERIALS; ELLIPSOIDAL INCLUSIONS; MICROMECHANICS MODELS; PRESSURE DERIVATIVES; VARIATIONAL APPROACH; MULTIPHASE MATERIALS; IMPERFECT INTERFACE; SELF-CONSISTENT</t>
  </si>
  <si>
    <t>The elastic properties of rocks are influenced by several microstructural variables, including the lattice preferred orientation and grain shape fabric of the mineral phases, variations in the spatial distribution of the mineral phases, the properties of the grain boundaries, and the presence of porosity/fractures. Consequently, in principle, directional variations in these variables can be inferred from seismic velocity anisotropy observations. Experimental seismic velocity measurements made on rocks of well-characterized microstructure may be used to improve the quality of such inferences. However, since most rocks are microstructurally complex, in order to interpret the measurements fully, theoretical analyses which can accommodate all the relevant microstructural variables are required. Theoretical analyses of the requisite sophistication have only recently been developed. We have tested one of these (due to Ponte Castaneda and Willis) by using it to calculate the elastic properties of an upper mantle harzburgite and by then comparing the results with experimental velocity measurements to determine if the values of those microstructural variables which are difficult to quantify (grain boundary properties, fracture shape) are physically realistic. We find that they are and conclude that the Ponte Castaneda and Willis analysis provides a powerful method for a more detailed assessment of the causes of elastic property anistropy in rocks than has previously been possible.</t>
  </si>
  <si>
    <t>UCL, Rock &amp; Ice Phys Lab, Dept Earth &amp; Planetary Sci, London, England; Univ Montpellier 2, Lab Geophys Tecton &amp; Sedimentol, Montpellier, France; Russian Acad Sci, Lab Ordered Media, United Inst Phys Earth, Moscow 123810, Russia; Univ Manchester, Dept Earth Sci, Manchester M13 9PL, Lancs, England; Geoforschungszentrum Potsdam, Projektbereich 4 1, D-14407 Potsdam, Germany; Univ Leeds, Sch Earth Sci, Leeds LS2 9JT, W Yorkshire, England</t>
  </si>
  <si>
    <t>University of London; University College London; Universite de Montpellier; Russian Academy of Sciences; Schmidt Institute of Physics of the Earth of the Russian Academy of Sciences; University of Manchester; Helmholtz Association; Helmholtz-Center Potsdam GFZ German Research Center for Geosciences; University of Leeds</t>
  </si>
  <si>
    <t>British Antarctic Survey, Geosci Div, High Cross Madingley Rd, Cambridge CB3 0ET, England.</t>
  </si>
  <si>
    <t>aswe@bas.ac.uk; scrump@fs1.ge.man.ac.uk; wirth@gfz-potsdam.de; g.lloyd@earth.leeds.ac.uk</t>
  </si>
  <si>
    <t>Bayuk, Irina/I-1274-2014</t>
  </si>
  <si>
    <t>Bayuk, Irina/0000-0003-1148-9609; Lloyd, Geoffrey/0000-0002-7859-2486; Covey-Crump, Stephen/0000-0002-9806-6870</t>
  </si>
  <si>
    <t>10.1029/2002JB001915</t>
  </si>
  <si>
    <t>712YG</t>
  </si>
  <si>
    <t>WOS:000184826700001</t>
  </si>
  <si>
    <t>Leon, GR; Sandal, GM</t>
  </si>
  <si>
    <t>Women and couples in isolated extreme environments: Applications for long-duration missions</t>
  </si>
  <si>
    <t>ACTA ASTRONAUTICA</t>
  </si>
  <si>
    <t>53rd International-Astronautical-Federation Congress (IAF)</t>
  </si>
  <si>
    <t>OCT 10-19, 2002</t>
  </si>
  <si>
    <t>HOUSTON, TX</t>
  </si>
  <si>
    <t>Expedition teams provide a number of analogs relevant to crew selection for long-duration space missions. Three groups were studied that varied in team composition. Group I was a two woman international dyad that traversed the Antarctic continent in 97 days. Similarities in problem solving approach, respect for each other's opinions, and a collaborative process of decision making were evident., Group 2 was composed of four women, all from different countries, engaged in a six week trek across Greenland. The most important factors in overcoming interpersonal difficulties and contributing to the successful completion of the expedition were mutual respect and motivation to maintain positive and supportive relationships. Group 3 consisted of three married couples from different countries icelocked on a boat in the High Arctic for a 9 month period. The emotional support of and ability to confide in their partner were extremely important in alleviating interpersonal tensions, and contributed to the generally effective functioning of the group. Women add an element of emotional support and help to other team members that is not as evident in all-male groups. Selection of couples with strong bonds to each other is another paradigm for crew selection for extended missions. (C) 2003 international Astronautical Federation. Published by Elsevier Science Ltd. All rights reserved.</t>
  </si>
  <si>
    <t>Univ Minnesota, Minneapolis, MN 55455 USA; Univ Bergen, Bergen, Norway</t>
  </si>
  <si>
    <t>University of Minnesota System; University of Minnesota Twin Cities; University of Bergen</t>
  </si>
  <si>
    <t>Univ Minnesota, Minneapolis, MN 55455 USA.</t>
  </si>
  <si>
    <t>leonx003@umn.edu; Gro.Sandal@psych.uib.no</t>
  </si>
  <si>
    <t>Sandal, Gro Mjeldheim/0000-0001-9017-9654</t>
  </si>
  <si>
    <t>0094-5765</t>
  </si>
  <si>
    <t>1879-2030</t>
  </si>
  <si>
    <t>ACTA ASTRONAUT</t>
  </si>
  <si>
    <t>Acta Astronaut.</t>
  </si>
  <si>
    <t>AUG-NOV</t>
  </si>
  <si>
    <t>4-10</t>
  </si>
  <si>
    <t>10.1016/S0094-5765(03)80003-6</t>
  </si>
  <si>
    <t>Engineering, Aerospace</t>
  </si>
  <si>
    <t>Science Citation Index Expanded (SCI-EXPANDED); Social Science Citation Index (SSCI); Conference Proceedings Citation Index - Science (CPCI-S)</t>
  </si>
  <si>
    <t>699XH</t>
  </si>
  <si>
    <t>WOS:000184081700004</t>
  </si>
  <si>
    <t>Parkinson, ML; Devlin, JC; Ye, H; Waters, CL; Dyson, PL; Breed, AM; Morris, RJ</t>
  </si>
  <si>
    <t>On the occurrence and motion of decametre-scale irregularities in the sub-auroral, auroral, and polar cap ionosphere</t>
  </si>
  <si>
    <t>ANNALES GEOPHYSICAE</t>
  </si>
  <si>
    <t>ionosphere; auroral ionosphere; electric fields and currents; ionospheric irregularities</t>
  </si>
  <si>
    <t>HIGH-LATITUDE IONOSPHERE; F-REGION IRREGULARITIES; EXPANSION PHASE ONSET; COHERENT HF RADARS; DOPPLER SPECTRA; METEOR ECHOES; GROWTH-PHASE; SUPERDARN; CUSP; BACKSCATTER</t>
  </si>
  <si>
    <t>The statistical occurrence of decametrescale ionospheric irregularities, average line-of-sight (LOS) Doppler velocity, and Doppler spectral width in the subauroral, auroral, and polar cap ionosphere (-57degreesLambda to -88degreesLambda) has been investigated using echoes recorded with the Tasman International Geospace Environment Radar (TIGER), a SuperDARN radar located on Bruny Island, Tasmania (147.2degreesE, 43.4degreesS geographic; -54.6degreesLambda). Results are shown for routine soundings made on the magnetic meridian beam 4 and the near zonal beam 15 during the sunspot maximum interval December 1999 to November 2000. Most echoes were observed in the nightside ionosphere, typically via 1.5-hop propagation near dusk and then via 0.5-hop propagation during pre-midnight to dawn. Peak occurrence rates on beam 4 were often &gt; 60% near magnetic midnight and similar to-70degreesLambda. They increased and shifted equatorward and toward pre-midnight with increasing K-p (i.e. B, southward). The occurrence rates remained very high for Kp &gt; 4, despite enhanced D-region absorption due to particle precipitation. Average occurrence rates on beam 4 exhibited a relatively weak seasonal variation, consistent with known longitudinal variations in auroral zone magnetic activity (Basu, 1975). The average echo power was greatest between 23 and 07 MLT. Two populations of echoes were identified on both beams, those with low spectral width and a mode value of similar to9ms(-1) (bin size of 2 ms(-1)) concentrated in the auroral and sub-auroral ionosphere (population A), and those with high spectral width and a mode value of similar to70 ms(-1) concentrated in the polar cap ionosphere (population 13). The occurrence of population A echoes maximised post-midnight because of TIGER's lower latitude, but the subset of the population A echoes observed near dusk had characteristics reminiscent of dusk scatter (Ruohoniemi et al., 1988). There was a dusk bite out of large spectral widths between similar to15 and 21 MLT and poleward of -67degreesLambda, and a predawn enhancement of large spectral widths between similar to03 and 07 MLT, centred on similar to-61degreesLambda. The average LOS Doppler velocities revealed that frequent westward jets of plasma flow occurred equatorward of, but overlapping, the diffuse auroral oval in the pre-midnight sector.</t>
  </si>
  <si>
    <t>La Trobe Univ, Dept Phys, Bundoora, Vic 3086, Australia; La Trobe Univ, Dept Elect Engn, Bundoora, Vic 3086, Australia; Univ Newcastle, Dept Phys, Newcastle, NSW 2038, Australia; Australian Antarctic Div, Kingston, Tas 7050, Australia</t>
  </si>
  <si>
    <t>La Trobe University; La Trobe University; University of Newcastle; Australian Antarctic Division</t>
  </si>
  <si>
    <t>Parkinson, ML (corresponding author), La Trobe Univ, Dept Phys, Bundoora, Vic 3086, Australia.</t>
  </si>
  <si>
    <t>m.parkinson@latrobe.edu.au</t>
  </si>
  <si>
    <t>Waters, Colin L/B-3086-2011</t>
  </si>
  <si>
    <t>Waters, Colin L/0000-0003-2121-6962</t>
  </si>
  <si>
    <t>EUROPEAN GEOPHYSICAL SOC</t>
  </si>
  <si>
    <t>KATLENBURG-LINDAU</t>
  </si>
  <si>
    <t>MAX-PLANCK-STR 13, 37191 KATLENBURG-LINDAU, GERMANY</t>
  </si>
  <si>
    <t>0992-7689</t>
  </si>
  <si>
    <t>ANN GEOPHYS-GERMANY</t>
  </si>
  <si>
    <t>Ann. Geophys.</t>
  </si>
  <si>
    <t>AUG</t>
  </si>
  <si>
    <t>10.5194/angeo-21-1847-2003</t>
  </si>
  <si>
    <t>Astronomy &amp; Astrophysics; Geosciences, Multidisciplinary; Meteorology &amp; Atmospheric Sciences</t>
  </si>
  <si>
    <t>Astronomy &amp; Astrophysics; Geology; Meteorology &amp; Atmospheric Sciences</t>
  </si>
  <si>
    <t>775NG</t>
  </si>
  <si>
    <t>Green Submitted, gold</t>
  </si>
  <si>
    <t>WOS:000189047100012</t>
  </si>
  <si>
    <t>Hughes, KA</t>
  </si>
  <si>
    <t>Influence of seasonal environmental variables on the distribution of presumptive fecal coliforms around an Antarctic research station</t>
  </si>
  <si>
    <t>ESCHERICHIA-COLI; ENTERIC BACTERIA; MCMURDO-STATION; UV-RADIATION; MACQUARIE ISLAND; SOLAR-RADIATION; SEWAGE OUTFALL; ACTION SPECTRA; SEA-ICE; SURVIVAL</t>
  </si>
  <si>
    <t>Factors affecting fecal microorganism survival and distribution in the Antarctic marine environment include solar radiation, water salinity, temperature, sea ice conditions, and fecal input by humans and local wildlife populations. This study assessed the influence of these factors on the distribution of presumptive fecal coliforms around Rothera Point, Adelaide Island, Antarctic Peninsula during the austral summer and winter of February 1999 to September 1999. Each factor had a different degree of influence depending on the time of year. In summer (February), although the station population was high, presumptive fecal coliform concentrations were low, probably due to the biologically damaging effects of solar radiation. However, summer algal blooms reduced penetration of solar radiation into the water column. By early winter (April), fecal coliform concentrations were high, due to increased fecal input by migrant wildlife, while solar radiation doses were low. By late winter (September), fecal coliform concentrations were high near the station sewage outfall, as sea ice formation limited solar radiation penetration into the sea and prevented wind-driven water circulation near the outfall. During this study, environmental factors masked the effect of station population numbers on sewage plume size. If sewage production increases throughout the Antarctic, environmental factors may become less significant and effective sewage waste management will become increasingly important. These findings highlight the need for year-round monitoring of fecal coliform distribution in Antarctic waters near research stations to produce realistic evaluations of sewage pollution persistence and dispersal.</t>
  </si>
  <si>
    <t>British Antarctic Survey, Nat Environm Res Council, Cambridge CB3 0ET, England</t>
  </si>
  <si>
    <t>British Antarctic Survey, Nat Environm Res Council, High Cross,Madingley Rd, Cambridge CB3 0ET, England.</t>
  </si>
  <si>
    <t>k.hughes@bas.ac.uk</t>
  </si>
  <si>
    <t>Hughes, Kevin/JVZ-0793-2024</t>
  </si>
  <si>
    <t>10.1128/AEM.69.8.4884-4891.2003</t>
  </si>
  <si>
    <t>710GM</t>
  </si>
  <si>
    <t>WOS:000184672500070</t>
  </si>
  <si>
    <t>Karr, EA; Sattley, WM; Jung, DO; Madigan, MT; Achenbach, LA</t>
  </si>
  <si>
    <t>Remarkable diversity of phototrophic purple bacteria in a permanently frozen Antarctic lake</t>
  </si>
  <si>
    <t>MCMURDO-DRY-VALLEYS; FRYXELL BASIN; GENES; PHOTOSYNTHESIS; PROKARYOTES; TEMPERATURE; EXPRESSION; LIGHT; MAT</t>
  </si>
  <si>
    <t>Although anoxygenic photosynthesis is thought to play an important role in the primary productivity of permanently frozen lakes in the Antarctic dry valleys, the bacterial communities responsible for this metabolism remain uncharacterized. Here we report the composition and activity of phototrophic purple bacteria in Lake Fryxell, Antarctica, as determined by analysis of a photosynthesis-specific gene, pufM. The results revealed an extensive diversity and highly stratified distribution of purple nonsulfur bacteria in Lake Fryxell and showed which phylotypes produced pufM transcripts in situ. Enrichment cultures for purple bacteria yielded two morphotypes, each with a pufM signature identical to signatures detected by environmental screening. The isolates also contained gas vesicles, buoyancy structures previously unknown in purple nonsulfur bacteria, that may be necessary for these organisms to position themselves at specific depths within the nearly freezing water column.</t>
  </si>
  <si>
    <t>So Illinois Univ, Dept Microbiol, Carbondale, IL 62901 USA</t>
  </si>
  <si>
    <t>Southern Illinois University System; Southern Illinois University</t>
  </si>
  <si>
    <t>Achenbach, LA (corresponding author), So Illinois Univ, Dept Microbiol, MC 6508, Carbondale, IL 62901 USA.</t>
  </si>
  <si>
    <t>Karr, Elizabeth/0000-0003-1200-4028; Sattley, W. Matthew/0000-0001-6712-2836; Jung, Deborah/0000-0002-8307-8772</t>
  </si>
  <si>
    <t>10.1128/AEM.69.8.4910-4914.2003</t>
  </si>
  <si>
    <t>WOS:000184672500073</t>
  </si>
  <si>
    <t>Perren, BB; Bradley, RS; Francus, P</t>
  </si>
  <si>
    <t>Rapid lacustrine response to recent High Arctic warming: A diatom record from Sawtooth Lake, Ellesmere Island, Nunavut</t>
  </si>
  <si>
    <t>ARCTIC ANTARCTIC AND ALPINE RESEARCH</t>
  </si>
  <si>
    <t>QUEEN ELIZABETH ISLANDS; CLIMATE-CHANGE; ENVIRONMENTAL-CHANGE; NORTHWEST-TERRITORIES; BAFFIN-ISLAND; ASSEMBLAGES; SEDIMENTS; PATTERNS</t>
  </si>
  <si>
    <t>Diatoms from Sawtooth Lake (79degrees20'N, 81degrees51'W) on the Fosheim Peninsula in Central Ellesmere Island, Canada were analyzed to assess the temporal extent and magnitude of climatic change in the High Arctic during the late Holocene. Diatom results from the sediment cores show an absence of diatoms throughout the last similar to2.5 ka (4.6 m) until the 1920s. However, ca. 1926 (5.3-cm depth), a rapid colonization of diatoms in the lake occurred. Within the uppermost section of the core (similar to1920 to similar to1997), the diatom flora shift from a small Fragilaria-dominated assemblage to a more diverse assemblage that is dominated by large planktonic taxa (e.g., Cyclotella bodanica) and large raphid benthic species. The postglacial nature of this assemblage suggests a decrease in ice cover and a concomitant increase in light and nutrient availability for diatom growth over the last similar to75 yr. Of particular significance is this absence of diatoms prior to the similar to1920s, which indicates that environmental conditions of the last similar to75 yr are unlike any of the previous similar to2500 yr.</t>
  </si>
  <si>
    <t>Univ Massachusetts, Dept Geosci, Climat Syst Res Ctr, Amherst, MA 01003 USA</t>
  </si>
  <si>
    <t>University of Massachusetts System; University of Massachusetts Amherst</t>
  </si>
  <si>
    <t>Univ Toronto, Dept Geol, 22 Russell St, Toronto, ON M5S 3B1, Canada.</t>
  </si>
  <si>
    <t>perren@geology.utoronto.ca</t>
  </si>
  <si>
    <t>Francus, Pierre/H-3713-2019; Francus, Pierre/IZD-8849-2023; Bradley, Raymond S/P-9358-2015</t>
  </si>
  <si>
    <t>Francus, Pierre/0000-0001-5465-1966; Francus, Pierre/0000-0001-5465-1966; Bradley, Raymond S/0000-0002-4032-9519; Perren, Bianca/0000-0001-6089-6468</t>
  </si>
  <si>
    <t>1523-0430</t>
  </si>
  <si>
    <t>1938-4246</t>
  </si>
  <si>
    <t>ARCT ANTARCT ALP RES</t>
  </si>
  <si>
    <t>Arct. Antarct. Alp. Res.</t>
  </si>
  <si>
    <t>10.1657/1523-0430(2003)035[0271:RLRTRH]2.0.CO;2</t>
  </si>
  <si>
    <t>Environmental Sciences; Geography, Physical</t>
  </si>
  <si>
    <t>Environmental Sciences &amp; Ecology; Physical Geography</t>
  </si>
  <si>
    <t>733KK</t>
  </si>
  <si>
    <t>WOS:000185999300001</t>
  </si>
  <si>
    <t>Rosén, P; Segerström, U; Eriksson, L; Renberg, I</t>
  </si>
  <si>
    <t>Do diatom, chironomid, and pollen records consistently infer Holocene July air temperature?: A comparison using sediment cores from four alpine lakes in northern Sweden</t>
  </si>
  <si>
    <t>QUANTITATIVE INDICATORS; CLIMATIC-CHANGE; YOUNGER DRYAS; ASSEMBLAGES; PH; RECONSTRUCTION; KRAKENES; TREELINE; PROGRESS; EUROPE</t>
  </si>
  <si>
    <t>The aim of this study is to assess the performance of diatom, chironomid, and pollen transfer functions for inferences of July air temperature during the Holocene using sediments from four alpine lakes in an area with low human impact in northern Sweden. The study demonstrates that diatom, chironomid, and pollen assemblages in the sediment cores contain climate information so that present-day temperature at each lake can be inferred with reasonable confidence for most proxies. Most proxy records from the sites consistently infer a long-term decreasing trend in July air temperature from ca. 6000 cal yr BP until the present. However, there are also large variations in the temporal patterns of the inferred temperatures during some periods, especially before 7000 cal yr BP, when there are also nonsynchronous changes in loss-on-ignition in the four lakes. This variability indicates that local conditions in the catchments (influence of snowfields, soil-forming processes) had a large impact on the organism assemblages in the early Holocene. Long-distance transport of pollen into high alpine lakes makes temperature inferences from pollen transfer functions unreliable. Due to the uncertainties of the methods, predictive errors of the transfer functions, and variability caused by local catchment/lake characteristics, only long-term trends in climate can be inferred. High-resolution studies using diatoms, chironomids, and pollen for climate reconstruction are probably not meaningful during periods with small changes in climate (&lt;1 degrees C). Future research should concentrate on low-resolution, multiproxy, and multilake studies to further understand the relationship between the proxies and climate.</t>
  </si>
  <si>
    <t>Umea Univ, Dept Ecol &amp; Environm Sci, SE-90187 Umea, Sweden; Abisko Sci Res Stn, Climate Impacts Res Ctr, SE-98107 Abisko, Sweden; Swedish Univ Agr Sci, Dept Forest Vegetat Ecol, SE-90183 Umea, Sweden; Swedish Univ Agr Sci, Dept Environm Assessment, SE-75007 Uppsala, Sweden</t>
  </si>
  <si>
    <t>Umea University; Swedish University of Agricultural Sciences; Swedish University of Agricultural Sciences</t>
  </si>
  <si>
    <t>Peter.Rosen@eg.umu.se; Ulf.Segerstrom@svek.slu.se; Lars.Eriksson@ma.slu.se; Ingemar.Renberg@eg.umu.se</t>
  </si>
  <si>
    <t>10.1657/1523-0430(2003)035[0279:DDCAPR]2.0.CO;2</t>
  </si>
  <si>
    <t>WOS:000185999300002</t>
  </si>
  <si>
    <t>Hinkel, KM; Eisner, WR; Bockheim, JG; Nelson, FE; Peterson, KM; Dai, XY</t>
  </si>
  <si>
    <t>Spatial extent, age, and carbon stocks in drained thaw lake basins on the Barrow Peninsula, Alaska</t>
  </si>
  <si>
    <t>WESTERN ARCTIC COAST; NORTHERN ALASKA; ORIENTED LAKES; ACTIVE-LAYER; TUNDRA SOILS; CANADA; VEGETATION; PERMAFROST; FEATURES; POLYGONS</t>
  </si>
  <si>
    <t>Thaw lakes and drained thaw lake basins are ubiquitous on the Arctic Coastal Plain of Alaska. Basins are wet depositional environments, ideally suited for the accumulation and preservation of organic material. Much of this soil organic carbon (SOC) is currently sequestered in the near-surface permafrost but, under a warming scenario, could become mobilized. The relative age of 77 basins on the Barrow Peninsula was estimated using the degree of plant community succession and verified by radiocarbon-dating material collected from the base of the organic layer in 21 basins. Using Landsat-7+ imagery of the region, a neural network classifying algorithm was developed from basin age-dependent spectra and texture. About 22% of the region is covered by 592 lakes (&gt;1 ha), and at least 50% of the land surface is covered by 558 drained lake basins. Analysis of cores collected from basins indicates that (1) organic layer thickness and the degree of organic matter decomposition generally increases with basin age, and (2) SOC in the surface organic layer tends to increase with basin age, but the relation for the upper 100 cm of soil becomes obscured due to cryoturbation, organic matter decomposition, and processes leading to ice enrichment in the upper permafrost.</t>
  </si>
  <si>
    <t>Univ Cincinnati, Dept Geog, Cincinnati, OH 45221 USA; Univ Wisconsin, Dept Soil Sci, Madison, WI 53706 USA; Univ Delaware, Dept Geog, Newark, DE 19716 USA; Univ Alaska, Dept Biol Sci, Anchorage, AK 99508 USA</t>
  </si>
  <si>
    <t>University System of Ohio; University of Cincinnati; University of Wisconsin System; University of Wisconsin Madison; University of Delaware; University of Alaska System; University of Alaska Anchorage</t>
  </si>
  <si>
    <t>Hinkel, KM (corresponding author), Univ Cincinnati, Dept Geog, Cincinnati, OH 45221 USA.</t>
  </si>
  <si>
    <t>INST ARCTIC ALPINE RES</t>
  </si>
  <si>
    <t>UNIV COLORADO, BOULDER, CO 80309 USA</t>
  </si>
  <si>
    <t>10.1657/1523-0430(2003)035[0291:SEAACS]2.0.CO;2</t>
  </si>
  <si>
    <t>WOS:000185999300003</t>
  </si>
  <si>
    <t>Rysgaard, S; Vang, T; Stjernholm, M; Rasmussen, B; Windelin, A; Kiilsholm, S</t>
  </si>
  <si>
    <t>Physical conditions, carbon transport, and climate change impacts in a northeast Greenland fjord</t>
  </si>
  <si>
    <t>HIGH-ARCTIC FJORD; RESOLUTION REGIONAL CLIMATE; YOUNG SOUND; SEA-ICE; EAST GREENLAND; MINERALIZATION; MODEL; PHOTOSYNTHESIS; SIMULATION; COMMUNITY</t>
  </si>
  <si>
    <t>This paper presents data on physical conditions and carbon transport in a typical northeast Greenland fjord along with predictions of expected changes in the area due to climate change. The fjord has an average depth of 100 m; the maximum depth is 360 m, and a sill at a depth of 45 m is found at its entrance. Sea ice covers the fjord from early October to late July. The freshwater input to the fjord, occurring from June to September, is 1063x10(6) m(3) from the catchment area (3109 km(2)) and 440x10(6) m(3) from melting of sea ice. During the ice-free period this buoyancy input and mixing by wind and tides results in an estuarine circulation in which lighter low-salinity water is moved seaward above denser water from the Greenland Sea. The tidal amplitude is 0.8 to 1.5 m, and the transport of tides from the outer parts of the fjord to the inner parts is delayed less than 15 min due to low friction in the fjord system. During the ice-free period, a net carbon input of 15-50 t C d(-1) occurs in the outer region of the fjord due to transport from land and the adjacent Greenland Sea. A regional atmosphere-ocean model predicts a temperature increase of 6-8degreesC at the end of this century (2071-2100) that will lead to increase in freshwater runoff, thinning of the sea ice, and an increase in ice-free conditions from 2.5 mo to 4.7-5.3 mo in Young Sound. The increased freshwater input will greatly enhance the estuarine circulation and nutrient input to the fjord and is expected to increase biological productivity.</t>
  </si>
  <si>
    <t>Natl Environm Res Inst, Dept Marine Ecol, DK-8600 Silkeborg, Denmark; Council Vejle, DK-7100 Vejle, Denmark; Natl Environm Res Inst, Dept Freshwater Ecol, DK-8600 Silkeborg, Denmark; Danish Meteorol Inst, DK-2100 Copenhagen O, Denmark</t>
  </si>
  <si>
    <t>Aarhus University; Aarhus University; Danish Meteorological Institute DMI</t>
  </si>
  <si>
    <t>Frederiksborgvej 399,POB 358, DK-4000 Roskilde, Denmark.</t>
  </si>
  <si>
    <t>sr@dmu.dk</t>
  </si>
  <si>
    <t>Rysgaard, Søren/K-6689-2013; Stjernholm, Michael/J-4920-2013</t>
  </si>
  <si>
    <t>Stjernholm, Michael/0000-0002-0616-4685; Rysgaard, Soren/0000-0003-1726-2958</t>
  </si>
  <si>
    <t>10.1657/1523-0430(2003)035[0301:PCCTAC]2.0.CO;2</t>
  </si>
  <si>
    <t>WOS:000185999300004</t>
  </si>
  <si>
    <t>Brown, LE; Hannah, DM; Milner, AM</t>
  </si>
  <si>
    <t>Alpine stream habitat classification: An alternative approach incorporating the role of dynamic water source contributions</t>
  </si>
  <si>
    <t>MACROINVERTEBRATE COMMUNITY STRUCTURE; GLACIER-FED RIVERS; SPATIOTEMPORAL VARIATION; SOLUTE ACQUISITION; CONCEPTUAL-MODEL; HYPORHEIC ZONE; VAL-ROSEG; ECOLOGY; MELT; HYDROCHEMISTRY</t>
  </si>
  <si>
    <t>We review current understanding of dynamic interactions between environmental variables and stream benthic communities within glacierized alpine catchments to provide a context for the central theme of habitat complexity within alpine streams. We present a conceptual model summarizing the important links between environmental variables, from large-scale (regional/catchment) to stream-reach/patch-scale processes, to illustrate this physical habitat complexity. Existing alpine stream classification and zonation criteria are examined, and the environmental characteristics representative of the different stream classes are identified. The theme of habitat complexity is developed to assess the applicability of traditional (principally temperature-based) alpine stream classifications. These traditional classifications do not take into account spatial and temporal variations in water source contributions to alpine streams unless associated temperature changes occur. However, different hydrological stores and pathways impart other physical and chemical influences upon stream benthic communities that are overlooked by traditional classifications. We propose a new classification system to better describe spatial and temporal variability in glacial, snowmelt, and groundwater inputs to alpine streams, based upon the mix of proportions of water contributed from each of these sources. Field data collected in the French Pyrenees are used to support this new alpine stream classification, which we propose as a tool for further research in alpine river catchments.</t>
  </si>
  <si>
    <t>Univ Birmingham, Sch Geog Earth &amp; Environm Sci, Birmingham B15 2TT, W Midlands, England; Univ Alaska, Inst Arctic Biol, Fairbanks, AK 99775 USA</t>
  </si>
  <si>
    <t>University of Birmingham; University of Alaska System; University of Alaska Fairbanks</t>
  </si>
  <si>
    <t>Univ Birmingham, Sch Geog Earth &amp; Environm Sci, Birmingham B15 2TT, W Midlands, England.</t>
  </si>
  <si>
    <t>leb198@bham.ac.uk; d.m.hannah@bham.ac.uk; a.m.milner@bham.ac.uk</t>
  </si>
  <si>
    <t>Hannah, David M./B-9221-2015</t>
  </si>
  <si>
    <t>Hannah, David M./0000-0003-1714-1240; Brown, Lee E./0000-0002-2420-0088</t>
  </si>
  <si>
    <t>10.1657/1523-0430(2003)035[0313:ASHCAA]2.0.CO;2</t>
  </si>
  <si>
    <t>WOS:000185999300005</t>
  </si>
  <si>
    <t>Bunn, AG; Lawrence, RL; Bellante, GJ; Waggoner, LA; Graumlich, LJ</t>
  </si>
  <si>
    <t>Spatial variation in distribution and growth patterns of old growth strip-bark pines</t>
  </si>
  <si>
    <t>ATMOSPHERIC CO2 ENRICHMENT; CARBON-DIOXIDE; TREE-RINGS; TEMPERATURE; CLIMATE; INFERENCES; COMPONENTS; REGRESSION; DROUGHT; RECORD</t>
  </si>
  <si>
    <t>Postindustrial rises in CO2 have the potential to confound the interpretation of climatically sensitive tree-ring chronologies. Increased growth rates observed during the 20th century in strip-bark trees have been attributed to CO2 fertilization. Absent in the debate of CO2 effects on tree growth are spatially explicit analyses that examine the proximate mechanisms that lead to changes in rates of tree growth. Twenty-seven pairs of strip-bark and companion entire-bark trees were analyzed in a spatially explicit framework for abiotic environmental correlates. The strip-bark tree locations were not random but correlated to an abiotic proxy for soil moisture. The strip-bark trees showed a characteristic increase in growth rates after about 1875. Furthermore, the difference in growth rates between the strip-bark trees and entire-bark companions increased with increasing soil moisture. A possible mechanism for these findings is that CO2 is affecting water-use efficiency, which in turn affects tree-ring growth. These results point to the importance of accounting for microsite variability in analyzing the potential role Of CO2 in governing growth responses.</t>
  </si>
  <si>
    <t>Montana State Univ, Big Sky Inst, Bozeman, MT 59717 USA; Montana State Univ, Dept Land Resources &amp; Environm Sci, Bozeman, MT 59717 USA</t>
  </si>
  <si>
    <t>Montana State University System; Montana State University Bozeman; Montana State University System; Montana State University Bozeman</t>
  </si>
  <si>
    <t>Montana State Univ, Big Sky Inst, 106 AJM Johnson Hall, Bozeman, MT 59717 USA.</t>
  </si>
  <si>
    <t>abunn@montana.edu</t>
  </si>
  <si>
    <t>Graumlich, Lisa/A-1421-2012; Graumlich, Lisa J/B-6830-2009</t>
  </si>
  <si>
    <t>10.1657/1523-0430(2003)035[0323:SVIDAG]2.0.CO;2</t>
  </si>
  <si>
    <t>WOS:000185999300006</t>
  </si>
  <si>
    <t>Bockheim, JG; O'Brien, JD; Munroe, JS; Hinkel, KM</t>
  </si>
  <si>
    <t>Factors affecting the distribution of Populus balsamifera on the north slope of Alaska, USA</t>
  </si>
  <si>
    <t>KUPARUK RIVER BASIN; CLIMATE-CHANGE; CANADA; ASPEN</t>
  </si>
  <si>
    <t>Balsam poplar (Populus balsamifera) groves occur north of the Brooks Range and treeline in arctic Alaska in a region of continuous permafrost and tundra vegetation. A poplar grove near the Ivishak River (69degrees06'N, 147degrees53'W) that we studied in detail contains 11 clones within 350 m of the river. Individual clones range from 600 to 4500 m(2) in size and 90 to 200 yr in age. Poplar trees are larger in diameter in clones within 100 m of the river and less dense in clones away from the river. Unique soil thermal, moisture, and nutrient conditions may limit the expansion of poplar groves to only a few hundred meters from the river channel, including a thaw bulb, or depression in the permafrost table; lithologic discontinuities that concentrate moisture in the rooting zone; and accumulation of Ca-enriched precipitates from aufeis deposits. We prepared a map showing the distribution of poplar groves on the North Slope from published reports, satellite images, topographic maps, and observations of a bush pilot. The groves occur within an area bounded by 68-69degreesN and 142-154degreesW. A preliminary model explaining the origin and distribution of balsam poplar groves was developed from the case study; unpublished data; and a review of the geologic, hydrologic, and ecologic literature. The groves preferentially occur in areas where there is a sharp change in relief from the Brooks Range to the Arctic Foothills, extensive river braiding accompanied by geothermal springs and aufeis deposits, and a regional groundwater flow system enriched in Ca that may be controlled by faulting.</t>
  </si>
  <si>
    <t>Univ Wisconsin, Dept Soil Sci, Madison, WI 53706 USA; Univ Wisconsin, Dept Geol, Madison, WI 53706 USA; Univ Cincinnati, Dept Geog, Cincinnati, OH 45221 USA</t>
  </si>
  <si>
    <t>University of Wisconsin System; University of Wisconsin Madison; University of Wisconsin System; University of Wisconsin Madison; University System of Ohio; University of Cincinnati</t>
  </si>
  <si>
    <t>Bockheim, JG (corresponding author), Univ Wisconsin, Dept Soil Sci, Madison, WI 53706 USA.</t>
  </si>
  <si>
    <t>10.1657/1523-0430(2003)035[0331:FATDOP]2.0.CO;2</t>
  </si>
  <si>
    <t>WOS:000185999300007</t>
  </si>
  <si>
    <t>Sandvik, SM; Heegaard, E</t>
  </si>
  <si>
    <t>Effects of simulated environmental changes on growth and growth form in a late snowbed population of Pohlia wahlenbergii (Web. et Mohr) Andr</t>
  </si>
  <si>
    <t>PSEUDOSCLEROPODIUM-PURUM; BRACHYTHECIUM-RUTABULUM; HYLOCOMIUM-SPLENDENS; POLYTRICHUM-COMMUNE; PLANT-COMMUNITIES; NITROGEN-FIXATION; RESPONSES; TUNDRA; TEMPERATURE; REPRODUCTION</t>
  </si>
  <si>
    <t>In a factorial field experiment we increased the temperature (Open Top Chambers) and nutrients (nitrogen, phosphorus, and potassium [NPK]) to simulate predicted future climate changes and studied the growth response of the acrocarpous bryophyte Pohlia wahlenbergii (Bryaceae) in a wet snowbed environment. The species shows a positive growth-length response to added nutrients and increased temperature. The stronger response to nutrients indicates a strong limitation of nutrients in the snowbed environment. There was an immediate response to nutrient treatment, whereas the temperature response was delayed. The growth response shows a clear interaction between temperature and nutrients. The immediate positive growth response is interpreted as a function of the wet habitat, since water makes the added nutrients immediately available to the plants. The growth form changed toward a more lax (loose) and desiccation-intolerant form with added nutrients. In a climate change scenario based on these results we hypothesize that bryophyte response will depend on the water availability from precipitation and from meltwater. In a drier environment we predict that bryophytes will become more constrained toward areas with a high continuity of meltwater, whereas increased precipitation may compensate for any changes in growth form, which would be positive for bryophytes.</t>
  </si>
  <si>
    <t>Agder Univ Coll, Dept Nat Sci, N-4604 Kristiansand, Norway; Univ Bergen, Inst Bot, N-5007 Bergen, Norway</t>
  </si>
  <si>
    <t>University of Agder; University of Bergen</t>
  </si>
  <si>
    <t>Agder Univ Coll, Dept Nat Sci, Serv Box 422, N-4604 Kristiansand, Norway.</t>
  </si>
  <si>
    <t>Sylvi.M.Sandvik@hia.no; einar.heegaard@bot.uib.no</t>
  </si>
  <si>
    <t>10.1657/1523-0430(2003)035[0341:EOSECO]2.0.CO;2</t>
  </si>
  <si>
    <t>WOS:000185999300008</t>
  </si>
  <si>
    <t>Pier, MD; Betts-Piper, AA; Knowlton, CC; Zeeb, BA; Reimer, KJ</t>
  </si>
  <si>
    <t>Redistribution of polychlorinated biphenyls from a local point source: Terrestrial soil, freshwater sediment, and vascular plants as indicators of the halo effect</t>
  </si>
  <si>
    <t>PERSISTENT ORGANIC POLLUTANTS; SPATIAL TRENDS; CONTAMINATION; DEPOSITION; LICHEN; LAKES; PCB; AIR; ACCUMULATION; PATTERNS</t>
  </si>
  <si>
    <t>Polychlorinated biphenyl (PCB) concentrations and congener profiles in terrestrial soils, vascular plants, and freshwater lake sediments were compared with respect to their relative utilities for assessing the redistribution of PCBs from a local contaminant source into the surrounding arctic environment. Plants (n=62), soils (n=58), and surficial freshwater lake sediments (n=16) were collected at varying distances up to 27 km from the source at Saglek, Labrador. Total PCB concentrations in these media exhibited similar negative log-linear relationships with increasing distance from the contaminant source. Analysis of congener compositions indicated that plants are more reflective of recent PCB exposure than either soils or sediments. Vascular plants reflect current ambient contaminant concentrations, whereas terrestrial soils and freshwater sediments represent much longer periods of contaminant deposition and are further influenced by such factors as their organic carbon content, particle size distribution, lake watershed size and productivity (in the case of sediments), and proximity to a drainage course (in the case of soils). Collectively, the data indicate that short-range transport of PCBs at Saglek has resulted in a halo of contamination that is up to 50 km in diameter.</t>
  </si>
  <si>
    <t>Royal Mil Coll Canada, Environm Sci Grp, Kingston, ON K7K 7B4, Canada; Queens Univ, Dept Biol, Paleoecol Environm Assessment &amp; Res Lab, Kingston, ON K7L 3N6, Canada</t>
  </si>
  <si>
    <t>Royal Military College - Canada; Queens University - Canada</t>
  </si>
  <si>
    <t>Royal Mil Coll Canada, Environm Sci Grp, POB 17000,FMO Stn Forces, Kingston, ON K7K 7B4, Canada.</t>
  </si>
  <si>
    <t>reimer-k@rmc.ca</t>
  </si>
  <si>
    <t>10.1657/1523-0430(2003)035[0349:ROPBFA]2.0.CO;2</t>
  </si>
  <si>
    <t>WOS:000185999300009</t>
  </si>
  <si>
    <t>Keller, F; Körner, C</t>
  </si>
  <si>
    <t>The role of photoperiodism in alpine plant development</t>
  </si>
  <si>
    <t>ENVIRONMENTAL-CONTROL</t>
  </si>
  <si>
    <t>Is alpine plant development in spring controlled by photoperiod irrespective of actual temperatures at the time following snowmelt? We investigated phenological responses to day length and temperature in 33 high-elevation species of the Central Alps (2600-3200 m a.s.l.), Austria. Plants were collected in the field in August, potted, and overwintered in a freezer at -1degreesC. Released from dormancy, plants experienced various photoperiods (12, 14.5, 15, and 16 h) and two temperature regimes (6/11degreesC and 8/18degreesC). Day length was extended with tungsten lamps, which do not contribute a significant dose of photosynthetically active photon flux density but provide a day-length signal. Only 23 species produced sufficient flowers to be included in the analysis. Flowering (yes or no) was sensitive to photoperiod in 54% of the species. Surprisingly, only 24% of the species showed temperature sensitivity at longer photoperiods, whereas at shorter photoperiods, 65% of the species were sensitive to an increase in temperature. The number of days between thawing of soil and flowering is sensitive to photoperiod in 46% of the species. Cerastium uniflorum, Elyna myosuroides, Saxifraga oppositifolia, Saxifraga seguieri, and Ranunculus glacialis are insensitive to both photoperiod and temperature and thus flower as soon as released from the snow irrespective of co-occurring light and temperature on of leafing were responsive to photoperiod. These results suggest that about half of the conditions. Specific leaf area and the duration of leafing were responsive to photoperiod and temperature in forbs but not in grasses. These results suggest that about half of the tested alpine species are sensitive to photoperiod and may not be able to fully utilize periods of earlier snowmelt.</t>
  </si>
  <si>
    <t>Perolles, Dept Geosci Geog, CH-1700 Fribourg, Switzerland; Univ Basel, Inst Bot, CH-4056 Basel, Switzerland</t>
  </si>
  <si>
    <t>University of Basel</t>
  </si>
  <si>
    <t>Keller, F (corresponding author), Perolles, Dept Geosci Geog, CH-1700 Fribourg, Switzerland.</t>
  </si>
  <si>
    <t>Körner, Christian/B-6592-2014</t>
  </si>
  <si>
    <t>Körner, Christian/0000-0001-7768-7638</t>
  </si>
  <si>
    <t>10.1657/1523-0430(2003)035[0361:TROPIA]2.0.CO;2</t>
  </si>
  <si>
    <t>Green Submitted, Green Accepted</t>
  </si>
  <si>
    <t>WOS:000185999300010</t>
  </si>
  <si>
    <t>Cooper, EJ; Wookey, PA</t>
  </si>
  <si>
    <t>Floral herbivory of Dryas octopetala by Svalbard reindeer</t>
  </si>
  <si>
    <t>GEESE BRANTA-LEUCOPSIS; REPRODUCTIVE DEVELOPMENT; PHENOLOGY; PRODUCTIVITY; LIMITATION; VEGETATION; DENSITY; GROWTH; PLANTS; NORWAY</t>
  </si>
  <si>
    <t>In polar semidesert communities of northwest Spitsbergen the reproductive potential of keystone vascular plant species, such as Dryas octopetala, is currently being constrained by low summer temperatures, resulting in the infrequent production of viable seeds. This study tests the hypothesis that summer foraging behavior of reindeer (Rangifer tarandus platyrhynchus) may further limit successful seed production due to intense selective grazing pressure on the flowering shoots. Surveys of neighboring coastal tundra areas with contrasting reindeer population densities revealed direct evidence of strong grazing pressure on reproductive shoots of D. octopetala on the Brogger Peninsula and considerably less floral herbivory on the sparsely reindeer-populated Blomstrand island. Recruitment of Dryas on the Brogger Peninsula is therefore being hindered by intense selective grazing of flowering shoots by Svalbard reindeer. This situation is not unique to this area of Svalbard and also extends to other species of flowering plants.</t>
  </si>
  <si>
    <t>Norwegian Polar Res Inst, Polar Environm Ctr, N-9296 Tromso, Norway; Uppsala Univ, Dept Earth Sci, S-75236 Uppsala, Sweden</t>
  </si>
  <si>
    <t>Norwegian Polar Institute; Uppsala University</t>
  </si>
  <si>
    <t>Cooper, EJ (corresponding author), Univ Ctr Svalbard UNIS, POB 156, N-9171 Longyearbyen, Norway.</t>
  </si>
  <si>
    <t>Wookey, Philip/AAA-6271-2020; Wookey, Philip/J-4786-2012</t>
  </si>
  <si>
    <t>Wookey, Philip/0000-0001-5957-6424;</t>
  </si>
  <si>
    <t>10.1657/1523-0430(2003)035[0369:FHODOB]2.0.CO;2</t>
  </si>
  <si>
    <t>WOS:000185999300011</t>
  </si>
  <si>
    <t>Kume, A; Bekku, YS; Hanba, YT; Kanda, H</t>
  </si>
  <si>
    <t>Carbon isotope discrimination in diverging growth forms of Saxifraga oppositifolia in different successional stages in a high Arctic glacier foreland</t>
  </si>
  <si>
    <t>NY-ALESUND; PURPLE SAXIFRAGE; SVALBARD; PLANTS; RESPIRATION; VEGETATION; L.</t>
  </si>
  <si>
    <t>We investigated carbon isotope discrimination of two morphs of Saxifraga oppositifolia and other plant species in a glacier foreland in the High Arctic at Ny-Alesund, Svalbard, Norway. At this site, soil conditions vary considerably along with the progress of primary succession within a small area. We compared growth forms and delta(13)C values, which reflect long-term leaf gas exchange characteristics, of plants growing in different successional stages with different soil conditions. Even though the soil mass water content (water mass/dry mass) increased from 10% to 140% with the progress of succession, the water and nitrogen content of the soil had negligible effects on the delta(13)C values of the observed species. The delta(13)C values were determined mainly by species and growth forms. We compared two morphs of S. oppositifolia, the prostrate form (P-form) and the cushion form (C-form), on the same riverbank in the glacier foreland. Regardless of the successional stage, the delta(13)C values of the C-form were about 2parts per thousand more negative than those of the P-form. The ground cover area per plant mass (GA) of the C-form was less than 30% that of the P-form, and the product of GA and stomatal conductance appears to be an important factor in the relationship between transpiration and photosynthesis of a whole plant. We suggest that the relationship between GA and the root mass fraction is a crucial factor affecting the water utilization in high arctic environments. We also examined the relationship between life form and water utilization for other phototrophs, including lichens, mosses, narrow-leaved grasses, perennials, and shrubs.</t>
  </si>
  <si>
    <t>Kyushu Univ, Fac Agr, Dept Forest &amp; Forest Prod Sci, Sasahuri, Kasuya Fukuoka 8112415, Japan; Tsuru Univ, Dept Primary Educ, Tsuru 4028555, Japan; Okayama Univ, Bioresources Res Inst, Kurashiki, Okayama 7100046, Japan; Natl Inst Polar Res, Tokyo 1738515, Japan</t>
  </si>
  <si>
    <t>Kyushu University; Okayama University; Research Organization of Information &amp; Systems (ROIS); National Institute of Polar Research (NIPR) - Japan</t>
  </si>
  <si>
    <t>Kume, A (corresponding author), Kyushu Univ, Fac Agr, Dept Forest &amp; Forest Prod Sci, Sasahuri, Kasuya Fukuoka 8112415, Japan.</t>
  </si>
  <si>
    <t>Kume, Atsushi/G-3523-2011</t>
  </si>
  <si>
    <t>Kume, Atsushi/0000-0002-0048-5680; Hanba, Yuko/0000-0002-1537-262X</t>
  </si>
  <si>
    <t>10.1657/1523-0430(2003)035[0377:CIDIDG]2.0.CO;2</t>
  </si>
  <si>
    <t>WOS:000185999300012</t>
  </si>
  <si>
    <t>Cannone, N; Gerdol, R</t>
  </si>
  <si>
    <t>Vegetation as an ecological indicator of surface instability in rock glaciers</t>
  </si>
  <si>
    <t>PRIMARY SUCCESSION; ESTABLISHMENT; FORELAND; ALPS</t>
  </si>
  <si>
    <t>We studied relationships between vegetation, substrate texture, and surface movement velocity in two active rock glaciers in the Central Alps (northern Italy). We also compared the vegetation on the two active rock glaciers with that of adjacent stable areas and with that of an inactive rock glacier. The vegetation patterns on the two active rock glaciers differed sharply from those on the stable areas nearby and on the inactive rock glacier with respect to both total plant cover and floristic composition. Surface movement on the two active rock glaciers ranged from 0-5 to 35-40 cm yr(-1) and was largely independent of slope inclination. The most unstable sites were almost free of mosses and lichens and were characterized by vascular species tolerating surface instability in virtue of varying morphological adaptations. However, the distributional pattern of vascular species could not be directly related to surface instability but depended on a combination of substrate texture and movement intensity.</t>
  </si>
  <si>
    <t>Univ Ferrara, Dipartimento Risorse Nat &amp; Culturali, I-44100 Ferrara, Italy</t>
  </si>
  <si>
    <t>University of Ferrara</t>
  </si>
  <si>
    <t>Gerdol, R (corresponding author), Univ Ferrara, Dipartimento Risorse Nat &amp; Culturali, Corso Porta Mare 2, I-44100 Ferrara, Italy.</t>
  </si>
  <si>
    <t>Cannone, Nicoletta/W-8651-2019</t>
  </si>
  <si>
    <t>Cannone, Nicoletta/0000-0002-3390-3965</t>
  </si>
  <si>
    <t>10.1657/1523-0430(2003)035[0384:VAAEIO]2.0.CO;2</t>
  </si>
  <si>
    <t>WOS:000185999300013</t>
  </si>
  <si>
    <t>Beierle, BD; Smith, DG; Hills, LV</t>
  </si>
  <si>
    <t>Late quaternary glacial and environmental history of the Burstall Pass area, Kananaskis Country, Alberta, Canada</t>
  </si>
  <si>
    <t>BANFF-NATIONAL-PARK; BRITISH-COLUMBIA; ROCKY-MOUNTAINS; SOUTHWESTERN ALBERTA; ICE-AGE; LAKE; FLUCTUATIONS; VEGETATION; CLIMATE; PALEOENVIRONMENTS</t>
  </si>
  <si>
    <t>We used integrated multiproxy analysis of a lake sediment core and glacial geomorphology to reconstruct the late Pleistocene and Holocene climate and geomorphic evolution of the Burstall Pass area, Kananaskis Country, Alberta, Canada. Analysis of macrofossils, pollen, sedimentology, and sediment geochemistry from a lake sediment core and geomorphology and tephrochronology of glacial moraines provide evidence for multiple modes of climate during the last ca. 11,000 yr. An advance of the Robertson Glacier prior to ca. 9200 C-14 BP is correlated to the Crowfoot advance and was the largest of the postglacial period. Immediately following this event, increased lake productivity and the deposition of marl as well as increased arboreal/nonarboreal pollen (AP/NAP) ratios suggest that the climate warmed, possibly accompanied by increased aridity. Decreased turbidity and clastic sediment flux in Lower Burstall Lake during the early Holocene suggest reduced glacial runoff and may indicate the complete ablation of the Robertson Glacier shortly after 10,000 C-14 BP. Clastic sediment flux to Lower Burstall Lake remained minimal until after ca. 3500 C-14 BP, when decreasing LOI (loss-on-ignition) organic carbon levels in lake sediments signaled the return of glacial runoff to the lake system. The largest Neoglacial advance in the Burstall Pass area appears to have been the most recent and was followed by rapid recession during the 20th century.</t>
  </si>
  <si>
    <t>Queens Univ, Dept Geog, Kingston, ON K7L 3N6, Canada; Univ Calgary, Dept Geog, Calgary, AB T2N 1N4, Canada; Univ Calgary, Dept Geol &amp; Geophys, Calgary, AB T2N 1N4, Canada</t>
  </si>
  <si>
    <t>Queens University - Canada; University of Calgary; University of Calgary</t>
  </si>
  <si>
    <t>Queens Univ, Dept Geog, Kingston, ON K7L 3N6, Canada.</t>
  </si>
  <si>
    <t>brandon@lake.geog.queensu.ca</t>
  </si>
  <si>
    <t>10.1657/1523-0430(2003)035[0391:LQGAEH]2.0.CO;2</t>
  </si>
  <si>
    <t>WOS:000185999300014</t>
  </si>
  <si>
    <t>Nickus, U</t>
  </si>
  <si>
    <t>Ion content of the snowpack on Franz Josef Land, Russia</t>
  </si>
  <si>
    <t>AGASSIZ ICE CAP; ELLESMERE-ISLAND; GREENLAND SNOW; ALPINE SNOW; MAJOR IONS; POLAR ICE; NITRATE; CHEMISTRY; POLLUTION; SULFATE</t>
  </si>
  <si>
    <t>We investigated the seasonal snow cover at six islands of Franz Josef Land in July 1995. Samples were chemically analyzed for major ions, pH, conductivity, fluoride, acetate, formate, and methane sulfonate. The chemical composition of the snow cover was dominated by sodium and chloride, which contributed up to 70% of the ion balance. Mean nitrate concentration was about 2 mueq L(-1), and non-sea-salt sulfate ranged from 5 to 19 mueq L(-1). Ion concentrations revealed a high local and seasonal variability, with peak concentrations attributed to spring and summer snow. We also found a high local variability for the water equivalent of the snow cover, with values between 14 and 118 cm, reflecting the strong influence of wind drift and redistribution of snow. The fractionation of ions during snowmelt was followed by sampling the snow cover at Salisbury Island at three stages of the snowmelt.</t>
  </si>
  <si>
    <t>Univ Innsbruck, Inst Meteorol &amp; Geophys, A-6020 Innsbruck, Austria</t>
  </si>
  <si>
    <t>University of Innsbruck</t>
  </si>
  <si>
    <t>Nickus, U (corresponding author), Univ Innsbruck, Inst Meteorol &amp; Geophys, Innrain 52, A-6020 Innsbruck, Austria.</t>
  </si>
  <si>
    <t>ulrike.nickus@uibk.ac.at</t>
  </si>
  <si>
    <t>Nickus, Ulrike/C-2063-2019</t>
  </si>
  <si>
    <t>Nickus, Ulrike/0000-0001-6041-5329</t>
  </si>
  <si>
    <t>10.1657/1523-0430(2003)035[0399:ICOTSO]2.0.CO;2</t>
  </si>
  <si>
    <t>WOS:000185999300015</t>
  </si>
  <si>
    <t>Franco, LH; Palermo, JA</t>
  </si>
  <si>
    <t>Synthesis of 2-(pyrimidin-4-yl)indoles</t>
  </si>
  <si>
    <t>CHEMICAL &amp; PHARMACEUTICAL BULLETIN</t>
  </si>
  <si>
    <t>meridianin; Fischer indole synthesis; microwave</t>
  </si>
  <si>
    <t>TUNICATE APLIDIUM-MERIDIANUM; MICROWAVE IRRADIATION; INDOLE ALKALOIDS; ANTARCTIC SPONGE; DERIVATIVES; ANTITUMOR</t>
  </si>
  <si>
    <t>The synthesis of 2-substituted isomers of the meridianins, a familiy of bioactive indole alkaloids isolated from the tunicate Aplidium meridianum, was undertaken. The synthetic route comprises six steps, with a microwave promoted Fischer cyclization as the key reaction.</t>
  </si>
  <si>
    <t>Univ Buenos Aires, Fac Ciencias Exactas &amp; Nat, Dept Quim Organ, RA-1428 Buenos Aires, DF, Argentina</t>
  </si>
  <si>
    <t>University of Buenos Aires</t>
  </si>
  <si>
    <t>Palermo, JA (corresponding author), Univ Buenos Aires, Fac Ciencias Exactas &amp; Nat, Dept Quim Organ, Ciudad Univ,Pabellon 2, RA-1428 Buenos Aires, DF, Argentina.</t>
  </si>
  <si>
    <t>palermo@qu.fcen.uba.ar</t>
  </si>
  <si>
    <t>Palermo, Jorge/0000-0002-0892-9389</t>
  </si>
  <si>
    <t>NCRR NIH HHS [P41 RR0954] Funding Source: Medline</t>
  </si>
  <si>
    <t>NCRR NIH HHS(United States Department of Health &amp; Human ServicesNational Institutes of Health (NIH) - USANIH National Center for Research Resources (NCRR))</t>
  </si>
  <si>
    <t>PHARMACEUTICAL SOC JAPAN</t>
  </si>
  <si>
    <t>2-12-15 SHIBUYA, SHIBUYA-KU, TOKYO, 150-0002, JAPAN</t>
  </si>
  <si>
    <t>0009-2363</t>
  </si>
  <si>
    <t>CHEM PHARM BULL</t>
  </si>
  <si>
    <t>Chem. Pharm. Bull.</t>
  </si>
  <si>
    <t>Chemistry, Medicinal; Chemistry, Multidisciplinary; Pharmacology &amp; Pharmacy</t>
  </si>
  <si>
    <t>Science Citation Index Expanded (SCI-EXPANDED); Index Chemicus (IC)</t>
  </si>
  <si>
    <t>Pharmacology &amp; Pharmacy; Chemistry</t>
  </si>
  <si>
    <t>707MJ</t>
  </si>
  <si>
    <t>WOS:000184514200015</t>
  </si>
  <si>
    <t>Ferguson, SH; Franzmann, PD; Snape, I; Revill, AT; Trefry, MG; Zappia, LR</t>
  </si>
  <si>
    <t>Effects of temperature on mineralisation of petroleum in contaminated Antarctic terrestrial sediments</t>
  </si>
  <si>
    <t>CHEMOSPHERE</t>
  </si>
  <si>
    <t>bioremediation; petroleum; antarctica; hydrocarbon degradation; soil microcosms; extended 3/2 order kinetic model</t>
  </si>
  <si>
    <t>EAST ANTARCTICA; MICROBIAL-DEGRADATION; KINETIC-MODEL; WILKES LAND; CRUDE-OIL; SOIL; BIODEGRADATION; HYDROCARBONS; BIOREMEDIATION; BACTERIA</t>
  </si>
  <si>
    <t>Although petroleum contamination has been identified at many Antarctic research stations, and is recognized as posing a significant threat to the Antarctic environment, full-scale in situ remediation has not yet been used in Antarctica. This is partly because it has been assumed that temperatures are too low for effective biodegradation. To test this, the effects of temperature on the hydrocarbon mineralisation rate in Antarctic terrestrial sediments were quantified. C-14-labelled octadecane was added to nutrient amended microcosms that were incubated over a range of temperatures between -2 and 42 degreesC. We found a positive correlation between temperature and mineralisation rate, with the fastest rates occurring in samples incubated at the highest temperatures. At temperatures below or near the freezing point of water there was a virtual absence of mineralisation. High temperatures (37 and 42 degreesC) and the temperatures just above the freezing point of water (4 degreesC) showed an initial mineralisation lag period, then a sharp increase in the mineralisation rate before a protracted. plateau phase. Mineralisation at temperatures between 10 and 28 degreesC had no initial lag phase. The high rate of mineralisation at 37 and 42 degreesC was surprising, as most continental Antarctic microorganisms described thus far have an optimal temperature for growth of between 20 and 30 degreesC and a maximal growth temperature &lt; 37 degreesC. The main implications for bioremediation in Antarctica from this study are that a high-temperature treatment would yield the most rapid biodegradation of the contaminant. However, in situ biodegradation using nutrients and other amendments is still possible at soil temperatures that occur naturally in summer at the Antarctic site we studies (Casey Station 66degrees17' S, 110degrees32' E), although treatment times could be excessively long. Crown Copyright (C) 2003 Published by Elsevier Science Ltd. All rights reserved.</t>
  </si>
  <si>
    <t>Univ Tasmania, Hobart, Tas 7001, Australia; CSIRO, Land &amp; Water, Floreat 6014, Australia; CSIRO, Marine Res, Hobart, Tas 7001, Australia</t>
  </si>
  <si>
    <t>University of Tasmania; Commonwealth Scientific &amp; Industrial Research Organisation (CSIRO); Commonwealth Scientific &amp; Industrial Research Organisation (CSIRO)</t>
  </si>
  <si>
    <t>Trefry, Mike G/C-3869-2011; Revill, Andrew/B-8733-2011</t>
  </si>
  <si>
    <t>Revill, Andrew/0000-0003-2486-5976; Trefry, Michael/0000-0002-5005-4483</t>
  </si>
  <si>
    <t>0045-6535</t>
  </si>
  <si>
    <t>Chemosphere</t>
  </si>
  <si>
    <t>10.1016/S0045-6535(03)00265-0</t>
  </si>
  <si>
    <t>694RQ</t>
  </si>
  <si>
    <t>WOS:000183788400005</t>
  </si>
  <si>
    <t>Lin, YT; Wang, DD; Miao, BK; Ouyang, ZY; Liu, XH; Ju, YT</t>
  </si>
  <si>
    <t>Grove mountains (GRV) 99027: A new Martian meteorite</t>
  </si>
  <si>
    <t>CHINESE SCIENCE BULLETIN</t>
  </si>
  <si>
    <t>meteorite; planet; Mars; Iherzolite; igneous texture</t>
  </si>
  <si>
    <t>OXYGEN ISOTOPES; MARS</t>
  </si>
  <si>
    <t>We report the petrography, mineral chemistry and oxygen isotopic composition of GRV 99027, a new Martian meteorite recently collected during the 16th Chinese Antarctic Research Expedition. This meteorite consists of two textural regions. The interstitial region is characterized by the presence of plagioclase and phosphate, and higher FeO contents of olivine and orthopyroxene, in comparison with the poikilitic region. All of the observations are similar to the three known Martian Iherzolites. We classify GRV 99027 as the fourth sample of Martian Iherzolite.</t>
  </si>
  <si>
    <t>Chinese Acad Sci, Guangzhou Inst Geochem, Guangzhou 510640, Peoples R China; Chinese Acad Sci, Inst Geol &amp; Geophys, Beijing 100029, Peoples R China; Chinese Acad Sci, Natl Astron Observat, Beijing 100012, Peoples R China</t>
  </si>
  <si>
    <t>Chinese Academy of Sciences; Guangzhou Institute of Geochemistry, CAS; Chinese Academy of Sciences; Institute of Geology &amp; Geophysics, CAS; Chinese Academy of Sciences; National Astronomical Observatory, CAS</t>
  </si>
  <si>
    <t>Chinese Acad Sci, Guangzhou Inst Geochem, Guangzhou 510640, Peoples R China.</t>
  </si>
  <si>
    <t>linyt@gig.ac.cn</t>
  </si>
  <si>
    <t>lin, yt/IQT-6771-2023; Li, Li/C-6140-2013; Lin, Yangting/A-8845-2015; LI, LI/O-8512-2019; Liu, Kai/IST-6808-2023</t>
  </si>
  <si>
    <t>SCIENCE PRESS</t>
  </si>
  <si>
    <t>BEIJING</t>
  </si>
  <si>
    <t>16 DONGHUANGCHENGGEN NORTH ST, BEIJING 100717, PEOPLES R CHINA</t>
  </si>
  <si>
    <t>1001-6538</t>
  </si>
  <si>
    <t>1861-9541</t>
  </si>
  <si>
    <t>CHINESE SCI BULL</t>
  </si>
  <si>
    <t>Chin. Sci. Bull.</t>
  </si>
  <si>
    <t>10.1007/BF03040634</t>
  </si>
  <si>
    <t>719RM</t>
  </si>
  <si>
    <t>WOS:000185218200023</t>
  </si>
  <si>
    <t>Masson-Delmotte, V; Delmotte, M; Morgan, V; Etheridge, D; van Ommen, T; Tartarin, S; Hoffmann, G</t>
  </si>
  <si>
    <t>Recent southern Indian Ocean climate variability inferred from a Law Dome ice core: new insights for the interpretation of coastal Antarctic isotopic records</t>
  </si>
  <si>
    <t>GENERAL-CIRCULATION MODEL; SEA-ICE; SEMIANNUAL OSCILLATION; TEMPORAL VARIABILITY; HOLOCENE CLIMATE; CIRCUMPOLAR WAVE; SURFACE PRESSURE; EAST ANTARCTICA; PRECIPITATION; DEUTERIUM</t>
  </si>
  <si>
    <t>Stable isotopes in water have been measured along a very high accumulation ice core from Law Dome on the east Antarctic coast. These enable a detailed comparison of the isotopic records over sixty years (1934-1992) with local (Antarctic station data) and remote meteorological observations (atmospheric reanalyses and sea-surface temperature estimates) on a seasonal to inter-annual time scale. Using both observations and isotopic atmospheric general circulation model (GCM) results, we quantify the relationships between stable isotopes (delta(18)O, deltaD and deuterium excess; d = deltaD -8 x delta(18)O) with site and source temperature at seasonal and decadal time scales, showing the large imprint of source conditions on Law Dome isotopes. These calibrations provide new insights for the quantitative interpretation of temporal isotopic fluctuations from coastal Antarctic ice cores. An abrupt change in the local meridional atmospheric circulation is clearly identified from Law Dome deuterium excess during the 1970s and analysed using GCM simulations.</t>
  </si>
  <si>
    <t>CEA, Lab Sci Climat &amp; Environm, IPSL, UMR CNRS 1572, F-91191 Gif Sur Yvette, France; Antarct CRC, Hobart, Tas, Australia; Australian Antarctic Div, Hobart, Tas, Australia; CSIRO, Aspendale, Vic, Australia</t>
  </si>
  <si>
    <t>CEA; Centre National de la Recherche Scientifique (CNRS); Universite Paris Saclay; Universite Paris Cite; Australian Antarctic Division; Commonwealth Scientific &amp; Industrial Research Organisation (CSIRO)</t>
  </si>
  <si>
    <t>Inst Phys Globe, CNRS, UMR 7579, Lab Geochim &amp; Cosmochim, 4 Pl Jussieu,Tour 14,3Eme Etage, F-75252 Paris 05, France.</t>
  </si>
  <si>
    <t>masson@lsce.saclay.cea.fr</t>
  </si>
  <si>
    <t>Etheridge, David M/B-7334-2013; Masson-Delmotte, Valerie L/G-1995-2011; van Ommen, Tas/B-5020-2012</t>
  </si>
  <si>
    <t>Masson-Delmotte, Valerie L/0000-0001-8296-381X; Etheridge, David/0000-0001-7970-2002; van Ommen, Tas/0000-0002-2463-1718</t>
  </si>
  <si>
    <t>10.1007/s00382-003-0321-9</t>
  </si>
  <si>
    <t>720HV</t>
  </si>
  <si>
    <t>WOS:000185256100004</t>
  </si>
  <si>
    <t>Block, W</t>
  </si>
  <si>
    <t>Water status and thermal analysis of alginate beads used in cryopreservation of plant germplasm</t>
  </si>
  <si>
    <t>CRYOBIOLOGY</t>
  </si>
  <si>
    <t>alginate beads; encapsulation; water content; polymerisation; osmotic dehydration; desiccation; thermal analysis; differential scanning calorimetry; vitrification; cryopreservation</t>
  </si>
  <si>
    <t>COATED SOMATIC EMBRYOS; GROWN SHOOT-TIPS; DAUCUS-CAROTA L; ENCAPSULATION-DEHYDRATION; LIQUID-NITROGEN; DESICCATION; VITRIFICATION; RESISTANCE; TOLERANCE; MERISTEMS</t>
  </si>
  <si>
    <t>Encapsulation and dehydration techniques using alginate beads are used increasingly for the pre-treatment of various plant materials for cryopreservation to improve survival post-cryogenic storage. This study reports the effects of the water content of beads (formed with 30% (w/v) alginic acid in liquid S-RIB), polymerisation time (in 100 mM calcium chloride solution), osmotic dehydration (in 0.75 M sucrose solution), and evaporative air desiccation on the thermal properties of alginate beads used in cryopreservation protocols. Experimental beads were assayed using a differential scanning calorimeter (DSC) with a cooling programme to -150degreesC, followed by re-warming. Resultant thermograms were evaluated with particular reference to the onset temperature and enthalpy of the melt endotherm from which the quantities of frozen and unfrozen water were calculated. Treatments were applied sequentially to samples of beads and their thermal features evaluated at each stage of the protocol. Using 'standard' beads (40-55 mg fresh weight), formed using plastic disposable pipettes, the degree of polymerisation (&gt;10 min) proportionally reduced their dry weight and increased their water content. Thermal characteristics of the beads were unaffected by polymerisation times &gt;10 min, but the maximum level (23%) of unfrozen (osmotically inactive) water was achieved after 15 min polymerisation. Osmotic dehydration using 0.75 M sucrose significantly lowered bead water content and mean dry weight approximately doubled with 20-24 h immersion time. Bead desiccation in still air reduced their water content by 83% of fresh weight, whilst dry weight remained constant. After 8 h desiccation in air between 27 and 37% of the water in the bead was osmotically inactive (unfrozen) in DSC scans. Desiccation &gt;18 h reduced this fraction to zero. The melt onset temperature and the enthalpy of melting were directly related to bead water content. The unfrozen water fraction increased substantially with reduced water content of the beads (from 23 to 37% of total water content), concomitant with a reduction in the ratio of unfrozen to frozen water from 1:3 to 1:2. For successful vitrification and the production of a glass that did not destabilise on rewarming, a bead water content of ca. 26%, of fresh weight (0.4 g water g(-1) dry weight) was required, much of which was osmotically inactive water. These data are discussed in relation to optimal pre-treatments for alginate bead encapsulation techniques used in the cryopreservation of a range of plant germplasm. It is proposed that increased standardisation of alginate beads, in terms of volume, fresh weight, and water content, is required to reduce the variability in physical and thermal features, which in turn will improve survival of plant samples post-cryopreservation. (C) 2003 Elsevier Inc. All rights reserved.</t>
  </si>
  <si>
    <t>British Antarctic Survey, NERC, Div Biol Sci, Cambridge CB3 0ET, England</t>
  </si>
  <si>
    <t>Block, W (corresponding author), British Antarctic Survey, NERC, Div Biol Sci, High Cross,Madingley Rd, Cambridge CB3 0ET, England.</t>
  </si>
  <si>
    <t>wcb@bas.ac.uk</t>
  </si>
  <si>
    <t>0011-2240</t>
  </si>
  <si>
    <t>1090-2392</t>
  </si>
  <si>
    <t>Cryobiology</t>
  </si>
  <si>
    <t>10.1016/S0011-2240(03)00069-5</t>
  </si>
  <si>
    <t>Biology; Physiology</t>
  </si>
  <si>
    <t>Life Sciences &amp; Biomedicine - Other Topics; Physiology</t>
  </si>
  <si>
    <t>811TO</t>
  </si>
  <si>
    <t>WOS:000220794400007</t>
  </si>
  <si>
    <t>Nodder, SD; Pilditch, CA; Probert, PK; Hall, JA</t>
  </si>
  <si>
    <t>Variability in benthic biomass and activity beneath the subtropical front, Chatham Rise, SW Pacific Ocean</t>
  </si>
  <si>
    <t>benthos; bathyal zone; organic matter; aerobic respiration; subtropical front; SW Pacific Ocean</t>
  </si>
  <si>
    <t>DEEP-SEA FLOOR; PARTICULATE ORGANIC-CARBON; EASTERN NORTH PACIFIC; COMMUNITY OXYGEN-CONSUMPTION; ZONE COLOR SCANNER; MARGIN GOBAN SPUR; NEW-ZEALAND; NE-ATLANTIC; CONTINENTAL-MARGIN; BOUNDARY-LAYER</t>
  </si>
  <si>
    <t>Spatial variability of benthic biomass and activity was investigated along two depth gradients (350-2600m) across Chatham Rise on 178degrees30'E between 41degreesS and 47degreesS, Southwest Pacific Ocean. The sampling transect lies beneath and extends either side of the highly productive Subtropical Front (STF), east of New Zealand, in subtropical and sub-Antarctic waters. Stations were occupied in austral autumn (April-May) 1997, spring (October) 1997 and summer (January-February) 2000. At each station, macrobenthic (autumn only) and meiofaunal and sediment bacterial biomass was determined with box and multi-corers, respectively. Shipboard sediment community oxygen consumption (SCOC) and sediment bacterial production (3 H-thymidine incorporation) incubations were also undertaken, and the physical characteristics and organic matter content of the sediments determined at each site. Benthic biomass was elevated on the crest and upper southern flank of the rise, compared to similar depths to the north, despite similarities in sediment properties (silty sands, moderate calcium carbonate and organic content). SCOC rates were also elevated on the crest and shallow southern flank stations with seasonal averages of 120-190 mumol O-2 m(-2) h(-1), compared with 90-150 to the north and similar to60 to the south. Sediment bacterial production rates exhibited similar, though seasonally inconsistent, spatial patterns (0.3-0.5 mgC m(-2) d(-1) at shallow sites compared with 0.3-0.7 to the north and 0.06-0.4 to the south). These observations are attributed to the flux of more labile organic material to the sea-floor on the southern upper flank from the STF (&lt; 1200 m), as also reflected in heightened average sediment particulate organic carbon (POC) values (0.7-0.8%, molar C:N similar to 14-15) at the shallowest sites (350 m on the crest and 450 m on the southern flank). The greatest contrasts were observed between the deepest stations: organic-rich (similar to1% POC, C:N - 15), muddy sediments, with anomalously high macrobenthic and low. meiofaunal biomass, were found on the northern flank of Chatham Rise at 2300 m, compared with organic-poor (0.2-0.3% POC, C:N similar to21-22), carbonate-dominated, muddy sands at 2300 and 2600 m on the southern flank of the rise, characterised by low benthic biomass and activity. These differences are related to the influence of meso-scale eddies, bottom currents and submarine slope mass wasting processes that operate north of Chatham Rise and the dominance of carbonate sedimentation to the south. A simple carbon budget model suggests that at times, especially autumn and summer, benthic communities on southern Chatham Rise do not receive sufficient energy from sinking organic particles (as collected by moored sediment traps) to compensate for benthic carbon remineralisation rates, resulting in &gt;80% shortfalls in carbon demand. Despite the proximity of the productive STF, the benthic community here must derive organic carbon from lateral sources, such as the Southland Front and Wairarapa Eddy, or have life cycle strategies to survive extended periods of low food supply. (C) 2003 Elsevier Ltd. All rights reserved.</t>
  </si>
  <si>
    <t>Natl Inst Water &amp; Atmosper Res Ltd, Natl Zealand Oceanog Inst, Wellington, New Zealand; Univ Waikato, Dept Sci Biol, Hamilton, New Zealand; Univ Otago, Dept Marine Sci, Dunedin, New Zealand; NIWA, Hamilton, New Zealand</t>
  </si>
  <si>
    <t>National Institute of Water &amp; Atmospheric Research (NIWA) - New Zealand; University of Waikato; University of Otago; National Institute of Water &amp; Atmospheric Research (NIWA) - New Zealand</t>
  </si>
  <si>
    <t>Nodder, SD (corresponding author), Natl Inst Water &amp; Atmosper Res Ltd, Natl Zealand Oceanog Inst, POB 14-901,295-301 Evans Bay Rd, Wellington, New Zealand.</t>
  </si>
  <si>
    <t>s.nodder@niwa.cri.nz</t>
  </si>
  <si>
    <t>10.1016/S0967-0637(03)00094-3</t>
  </si>
  <si>
    <t>767PA</t>
  </si>
  <si>
    <t>WOS:000188458600002</t>
  </si>
  <si>
    <t>Schmittner, A</t>
  </si>
  <si>
    <t>Southern Ocean sea ice and radiocarbon ages of glacial bottom waters</t>
  </si>
  <si>
    <t>Last Glacial Maximum; Southern Ocean; sea ice; radiocarbon age; deep water</t>
  </si>
  <si>
    <t>VENTILATION RATES; DEEP-WATER; MAXIMUM; CIRCULATION; MODEL; SIMULATIONS; CLIMATES; PERIOD; C-14; CO2</t>
  </si>
  <si>
    <t>Analyzing simulations of glacial ocean circulation and radiocarbon distribution I show that increased sea ice cover over the Southern Ocean reduces ventilation and radiocarbon content of the deep ocean. Two simulations, one present-day and one glacial, tuned to have similar rates of North Atlantic Deep Water formation are used. Insulation from air-sea gas exchange due to more extended sea ice cover increases Southern Ocean radiocarbon ages by more than 100 yr. Higher rates of sea ice formation and export from high southern latitudes lead to a salinification of Antarctic Bottom Water (AABW), making it the most saline deep water mass of the glacial world oceans. This increases the density of AABW and hence its rate of formation. Mass and radiocarbon fluxes to the deep ocean are thus decoupled. Both older Southern Ocean waters and a stronger flux of AABW increase radiocarbon ages of glacial bottom waters by up to 300 yr. Available reconstructions of glacial bottom water properties are broadly consistent with the simulation. These results question previous inferences from radiocarbon distributions on glacial deep water formation rates. (C) 2003 Elsevier Science B.V. All rights reserved.</t>
  </si>
  <si>
    <t>Max Planck Inst Biogeochem, D-07701 Jena, Germany</t>
  </si>
  <si>
    <t>Max Planck Society</t>
  </si>
  <si>
    <t>Schmittner, A (corresponding author), Univ Kiel, Inst Geowissensch, Olshausenstr 40, D-24118 Kiel, Germany.</t>
  </si>
  <si>
    <t>Schmittner, Andreas/A-3101-2008; Schmittner, Andreas/O-9647-2015</t>
  </si>
  <si>
    <t>Schmittner, Andreas/0000-0002-8376-0843</t>
  </si>
  <si>
    <t>AUG 1</t>
  </si>
  <si>
    <t>10.1016/S0012-821X(03)00291-7</t>
  </si>
  <si>
    <t>708VD</t>
  </si>
  <si>
    <t>WOS:000184589600005</t>
  </si>
  <si>
    <t>Hall, K; André, MF</t>
  </si>
  <si>
    <t>Rock thermal data at the grain scale:: Applicability to granular disintegration in cold environments</t>
  </si>
  <si>
    <t>EARTH SURFACE PROCESSES AND LANDFORMS</t>
  </si>
  <si>
    <t>Antarctica; granular disintegration; microgelivation; thermal stress; rock weathering</t>
  </si>
  <si>
    <t>CRYPTOENDOLITHIC MICROBIAL ENVIRONMENT; ALEXANDER ISLAND; VICTORIA-LAND; ANTARCTICA; STRESS; DESERT; TEMPERATURES; NORTHERN; REGIONS; LICHENS</t>
  </si>
  <si>
    <t>Consideration of the mechanisms associated with the granular disintegration of rock has been limited by available data. In most instances, both the size of the transducer and the nature of the stud have negated any applicability of the resulting data to the understanding, of grain-to-grain separation within rock. The application of microthermocouples (less than or equal to0.15 mm diameter) and high-frequency logging (20 s intervals) at a taffoni site on southern Alexander Island and from a rock outcrop on Adelaide Island (Antarctica) provide new data pertaining to the thermal conditions, at the grain scale, of the rock Surface. The results show that thermal changes (DeltaT/t) can be very high, with values of 22 degreesC min(-1) being recorded. Although available data indicate that there can be differences in frequency and magnitude of fluctuations as a function of aspect, all aspects experienced some large magnitude (greater than or equal to2 degreesC min(-1)) fluctuations. Further, in many instances, large thermal changes in more than one direction could occur within 1 min or in subsequent minutes. These data suggest that the surface grains experience rapidly changing stress fields that may, with time, effect fatigue at the grain boundaries; albedo differences between grains and the resulting thermal variations are thought to exacerbate this. The available data failed to show any indication of water freezing (an exotherm) and thus it is suggested that microgelivation may not play as large a role in granular breakdown as is often postulated for cold regions, and that in this dry, Antarctic region thermal stress may play a significant role. Copyright (C) 2003 John Wiley Sons, Ltd.</t>
  </si>
  <si>
    <t>Univ No British Columbia, Geog Program, Prince George, BC V2N 4Z9, Canada; Univ Clermont Ferrand, Lab Geog Phys, UMR 6042 CNRS, F-63057 Clermont Ferrand, France</t>
  </si>
  <si>
    <t>University of Northern British Columbia; Centre National de la Recherche Scientifique (CNRS); CNRS - Institute of Ecology &amp; Environment (INEE); Universite Clermont Auvergne (UCA); Universite de Limoges</t>
  </si>
  <si>
    <t>Hall, K (corresponding author), Univ No British Columbia, Geog Program, 3333 Univ Way, Prince George, BC V2N 4Z9, Canada.</t>
  </si>
  <si>
    <t>JOHN WILEY &amp; SONS LTD</t>
  </si>
  <si>
    <t>CHICHESTER</t>
  </si>
  <si>
    <t>THE ATRIUM, SOUTHERN GATE, CHICHESTER PO19 8SQ, W SUSSEX, ENGLAND</t>
  </si>
  <si>
    <t>0197-9337</t>
  </si>
  <si>
    <t>EARTH SURF PROC LAND</t>
  </si>
  <si>
    <t>Earth Surf. Process. Landf.</t>
  </si>
  <si>
    <t>10.1002/esp.494</t>
  </si>
  <si>
    <t>718AM</t>
  </si>
  <si>
    <t>WOS:000185123000002</t>
  </si>
  <si>
    <t>Chown, SL; Klok, CJ</t>
  </si>
  <si>
    <t>Altitudinal body size clines: latitudinal effects associated with changing seasonality</t>
  </si>
  <si>
    <t>ECOGRAPHY</t>
  </si>
  <si>
    <t>SUB-ANTARCTIC MARION; LIFE-HISTORY TRAITS; BERGMANNS RULE; DROSOPHILA-MELANOGASTER; MYRMELEON-IMMACULATUS; GEOGRAPHIC-VARIATION; SPECIES RICHNESS; REACTION NORMS; COLONY SIZE; HABITAT USE</t>
  </si>
  <si>
    <t>Within ectotherms, increases in body size with latitude are thought to be the consequence of the effect of a decline in development temperature, which results in a larger final body size. In contrast, latitudinal declines in body size are usually ascribed to limited resources. It has been suggested that if generation time is similar to or constitutes a significant proportion of the growing season length, then season length is likely to have a considerable influence on body size because of constraints on resource availability, so resulting in a decline in body size with temperature (latitude). However, if generation time declines relative to season length, resources effectively become available for longer. Temperature influences on growth and differentiation are likely to be most significant, resulting in an increase in body size with latitude. Here, we test the hypothesis by comparing intraspecific altitudinal body size clines in a monophyletic group of weevils from two regions that differ substantially in seasonality. On the relatively aseasonal Marion Island, body size increases with altitude, whereas on the more seasonal Heard Island the opposite is found. In addition, overlapping generations on Marion Island indicate year-round resource availability, whereas more discrete generations on Heard Island indicate winter cessation of growth and development. Our data provide support for the hypothesis that the seasonality of resource availability has a major influence on body size clines. Furthermore, we argue that analysis of interspecific body size clines should be preceded by nested analyses of variance to determine the influence of clinal replacement of higher taxa on these patterns.</t>
  </si>
  <si>
    <t>Univ Stellenbosch, Dept Zool, ZA-7602 Matieland, South Africa</t>
  </si>
  <si>
    <t>Univ Stellenbosch, Dept Zool, Private Bag 11, ZA-7602 Matieland, South Africa.</t>
  </si>
  <si>
    <t>slchown@sun.ac.za</t>
  </si>
  <si>
    <t>0906-7590</t>
  </si>
  <si>
    <t>1600-0587</t>
  </si>
  <si>
    <t>Ecography</t>
  </si>
  <si>
    <t>10.1034/j.1600-0587.2003.03479.x</t>
  </si>
  <si>
    <t>724HJ</t>
  </si>
  <si>
    <t>WOS:000185481900007</t>
  </si>
  <si>
    <t>Hoffman, JI; Boyd, IL; Amos, W</t>
  </si>
  <si>
    <t>Male reproductive strategy and the importance of maternal status in the antarctic fur seal Arctocephalus gazella</t>
  </si>
  <si>
    <t>EVOLUTION</t>
  </si>
  <si>
    <t>female behavior; inbreeding; microsatellite; paternity analysis; pinniped; polygyny</t>
  </si>
  <si>
    <t>MALE MATING SUCCESS; PHOCA-VITULINA; HALICHOERUS-GRYPUS; HARBOR SEALS; BIRD ISLAND; MICROSATELLITE ANALYSIS; PATERNITY INFERENCE; SABLE ISLAND; DNA; BEHAVIOR</t>
  </si>
  <si>
    <t>Although mammalian mating systems are classically characterized in terms of male competition and polygyny, it is becoming increasingly apparent that alternative male strategies and female choice may play important roles. For example, females who mate with males from a dominant dynasty risk producing inbred offspring. Many pinnipeds are highly polygynous, but in some species alternative male strategies such as aquatic mating appear to be important, even when behavioral observations suggest strong polygyny. Here, we analyze male reproductive success in the Antarctic fur seal Arctocephalus gazella, an otariid described behaviorally as being highly polygynous, by combining a microsatellite paternity analysis spanning seven consecutive breeding seasons with detailed behavioral data on both sexes. Territorial males fathered 59% of 660 pups analyzed from our study colony. Male reproductive skew was considerable, with a quarter of all paternities assigned to just 12 top individuals on a beach where mean annual pup production was 635. Most males were successful for only a single season, but those able to return over successive years enjoyed rapidly increasing success with each additional season of tenure. We found no evidence of alternative male reproductive tactics such as aquatic or sneaky terrestrial mating. However, paternity was strongly influenced by maternal status. Females observed on the beach without a pup were significantly less likely to conceive to a sampled territorial male than equivalent females that did pup. In addition, their pups carried combinations of paternal alleles that were less likely to be found on the study beach and exhibited lower levels of shared paternity. Thus, from a territorial male's perspective, not all females offer equal opportunities for fertilization.</t>
  </si>
  <si>
    <t>Univ Cambridge, Dept Zool, Cambridge CB2 3EJ, England; British Antarctic Survey, NERC, Cambridge CB3 0ET, England</t>
  </si>
  <si>
    <t>University of Cambridge; UK Research &amp; Innovation (UKRI); Natural Environment Research Council (NERC); NERC British Antarctic Survey</t>
  </si>
  <si>
    <t>Univ Cambridge, Dept Zool, Downing St, Cambridge CB2 3EJ, England.</t>
  </si>
  <si>
    <t>jih24@cam.ac.uk; ilb@st-andrews.ac.uk; w.amos@zoo.cam.ac.uk</t>
  </si>
  <si>
    <t>Hoffman, Joseph/K-7725-2012</t>
  </si>
  <si>
    <t>Hoffman, Joseph/0000-0001-5895-8949</t>
  </si>
  <si>
    <t>0014-3820</t>
  </si>
  <si>
    <t>1558-5646</t>
  </si>
  <si>
    <t>Evolution</t>
  </si>
  <si>
    <t>Ecology; Evolutionary Biology; Genetics &amp; Heredity</t>
  </si>
  <si>
    <t>Environmental Sciences &amp; Ecology; Evolutionary Biology; Genetics &amp; Heredity</t>
  </si>
  <si>
    <t>717ET</t>
  </si>
  <si>
    <t>WOS:000185073500019</t>
  </si>
  <si>
    <t>Tuck, GN; de la Mare, WK; Hearn, WS; Williams, R; Smith, ADM; He, X; Constable, A</t>
  </si>
  <si>
    <t>An exact time of release and recapture stock assessment model with an application to Macquarie Island Patagonian toothfish (Dissostichus eleginoides)</t>
  </si>
  <si>
    <t>FISHERIES RESEARCH</t>
  </si>
  <si>
    <t>Patagonian toothfish; Macquarie Island; stock assessment; tagging experiment; semi-parametric model; available abundance</t>
  </si>
  <si>
    <t>NATURAL MORTALITY; TAGGING DATA; POPULATION</t>
  </si>
  <si>
    <t>This paper presents an exact time of release and recapture stock assessment model that unifies the semi-parametric approach with the Petersen method. It allows for the expectation that a fish tagged early in a fishing season has a higher chance of being recaptured during the season than a fish tagged later in the season. The model is applied to the harvested population of Patagonian toothfish at Macquarie Island utilising data from a tag-recapture experiment initiated during the 1995/1996 fishing season. The population models of the assessment include dynamics of tagged and untagged fish, daily releases, catches, recaptures, natural mortality, and annual net recruitment. Two assessment models are presented. The first, referred to as the 'length-independent selection' (LIS) model, assumes the recaptures are Poisson distributed, and the recapture expectations are conditional on catch numbers and the estimated abundance of tagged fish. The second, the 'length-dependent selection' (LDS) model, attempts to account for apparent decreasing availability with length. It assumes that the likelihood of recapturing a tagged fish is proportional to the relative selectivity for fish of the corresponding length. The assessment models were applied to the population inhabiting the Aurora Trough region; one of the main fishing areas surrounding Macquarie Island. The models estimated that pre-tagging abundance was between 0.6 and 0.8 million fish, depending on assumed mixing levels between tagged and untagged fish. The LDS model estimated a lower available abundance than the LIS model. Estimates of net recruitment were occasionally negative, suggesting that emigration may have exceeded immigration. Estimates of available abundance to the fishery showed a decline to approximately 30% of the pre-tagging available abundance in 1998 before recovering to between 50 and 75%, depending on the assumed mixing level. Crown Copyright (C) 2003 Published by Elsevier Science B.V. All rights reserved.</t>
  </si>
  <si>
    <t>CSIRO, Hobart, Tas 7001, Australia; Simon Fraser Univ, Sch Resource &amp; Environm Management, Burnaby, BC V5A 1S6, Canada; CSIRO, Wembley, WA 6913, Australia; Australian Antarctic Div, Kingston, Tas 7050, Australia; SW Fisheries Sci Ctr, Santa Cruz, CA 95060 USA</t>
  </si>
  <si>
    <t>Commonwealth Scientific &amp; Industrial Research Organisation (CSIRO); Simon Fraser University; Commonwealth Scientific &amp; Industrial Research Organisation (CSIRO); Australian Antarctic Division; National Oceanic Atmospheric Admin (NOAA) - USA</t>
  </si>
  <si>
    <t>CSIRO, GPO Box 1538, Hobart, Tas 7001, Australia.</t>
  </si>
  <si>
    <t>geoff.tuck@csiro.au</t>
  </si>
  <si>
    <t>Tuck, Geoffrey N/E-2356-2012; Smith, Tony D/A-4017-2012</t>
  </si>
  <si>
    <t>0165-7836</t>
  </si>
  <si>
    <t>1872-6763</t>
  </si>
  <si>
    <t>FISH RES</t>
  </si>
  <si>
    <t>Fish Res.</t>
  </si>
  <si>
    <t>10.1016/S0165-7836(03)00073-0</t>
  </si>
  <si>
    <t>Fisheries</t>
  </si>
  <si>
    <t>702JU</t>
  </si>
  <si>
    <t>WOS:000184221400004</t>
  </si>
  <si>
    <t>Khan, MA; Hossain, MA; Hara, K; Osatomi, K; Ishihara, T; Nozaki, Y</t>
  </si>
  <si>
    <t>Effect of enzymatic fish protein hydrolysate from fish scrap on the state of water and denaturation of lizard fish (Saurida wanieso) myofibrils during dehydration</t>
  </si>
  <si>
    <t>FOOD SCIENCE AND TECHNOLOGY RESEARCH</t>
  </si>
  <si>
    <t>fish protein hydrolysate; Ca-ATPase activity; water activity; unfrozen water; lizard fish; myofibrils; dehydration</t>
  </si>
  <si>
    <t>HERRING CLUPEA-HARENGUS; I-CONVERTING ENZYME; ANTARCTIC KRILL; ATPASE; MUSCLE</t>
  </si>
  <si>
    <t>Fish protein hydrolysate (FPH) was prepared from scraps of 5 marine species, in order to utilize by-products effectively by protease treatment. Protein was the major component of the FPH ranging 82-86%. The effects of 5% FPH (dried weight/wet weight) on the state of water and the denaturation of lizard fish Saurida wanieso myofibrils were evaluated by desorption isotherm curves, Ca-ATPase activity, and differential scanning calorimetry (DSC) during dehydration. The myofibrils with FPH showed a decreased water activity (Aw), while they exhibited significantly higher Ca-ATPase activity compared to myofibrils without FPH (control). The myofibrils with FPH had higher amount of unfrozen water than the control. These results suggest that the FPH suppressed dehydration-induced denaturation, which seems to be attributable to the stabilization of the hydrated water surrounding the myofibrils.</t>
  </si>
  <si>
    <t>Nagasaki Univ, Grad Sch Sci &amp; Technol, Nagasaki 8528521, Japan; Nagasaki Univ, Fac Fisheries, Nagasaki 8528521, Japan</t>
  </si>
  <si>
    <t>Nagasaki University; Nagasaki University</t>
  </si>
  <si>
    <t>Nozaki, Y (corresponding author), Nagasaki Univ, Grad Sch Sci &amp; Technol, Bunkyo Machi 1-14, Nagasaki 8528521, Japan.</t>
  </si>
  <si>
    <t>JAPAN SOC FOOD SCI TECHNOL</t>
  </si>
  <si>
    <t>IBARAKI-KEN</t>
  </si>
  <si>
    <t>2-1-12 KANNONDAI TSUKUBA-SHI, IBARAKI-KEN, 305-8642, JAPAN</t>
  </si>
  <si>
    <t>1344-6606</t>
  </si>
  <si>
    <t>FOOD SCI TECHNOL RES</t>
  </si>
  <si>
    <t>Food Sci. Technol. Res.</t>
  </si>
  <si>
    <t>10.3136/fstr.9.257</t>
  </si>
  <si>
    <t>Food Science &amp; Technology</t>
  </si>
  <si>
    <t>725NJ</t>
  </si>
  <si>
    <t>WOS:000185549000010</t>
  </si>
  <si>
    <t>Hodkinson, ID</t>
  </si>
  <si>
    <t>Metabolic cold adaptation in arthropods: a smaller-scale perspective</t>
  </si>
  <si>
    <t>FUNCTIONAL ECOLOGY</t>
  </si>
  <si>
    <t>ARCTIC SOIL MICROARTHROPODS; SUB-ANTARCTIC INSECTS; RESPIRATORY METABOLISM; OXYGEN-CONSUMPTION; SOUTH-GEORGIA; ALASKOZETES-ANTARCTICUS; CRYPTOPYGUS-ANTARCTICUS; SUMMER TEMPERATURES; MARION ISLAND; LIFE-CYCLE</t>
  </si>
  <si>
    <t>Liverpool John Moores Univ, Sch Biol &amp; Earth Sci, Liverpool L3 3AF, Merseyside, England</t>
  </si>
  <si>
    <t>Liverpool John Moores University</t>
  </si>
  <si>
    <t>Hodkinson, ID (corresponding author), Liverpool John Moores Univ, Sch Biol &amp; Earth Sci, Byrom St, Liverpool L3 3AF, Merseyside, England.</t>
  </si>
  <si>
    <t>0269-8463</t>
  </si>
  <si>
    <t>FUNCT ECOL</t>
  </si>
  <si>
    <t>Funct. Ecol.</t>
  </si>
  <si>
    <t>10.1046/j.1365-2435.2003.07431.x</t>
  </si>
  <si>
    <t>Ecology</t>
  </si>
  <si>
    <t>708NH</t>
  </si>
  <si>
    <t>WOS:000184573900018</t>
  </si>
  <si>
    <t>Sushchevskaya, NM; Belyatskii, BV; Dubinin, EP; Tsekhonya, TI; Mikha'skii, EM; Leichenkov, GL</t>
  </si>
  <si>
    <t>Geochemical heterogeneity of tholeiitic magmatism in circum-antarctic rift zones</t>
  </si>
  <si>
    <t>GEOCHEMISTRY INTERNATIONAL</t>
  </si>
  <si>
    <t>SOUTHWEST INDIAN RIDGE; BOUVET TRIPLE JUNCTION; LARGE IGNEOUS PROVINCE; MID-ATLANTIC RIDGE; EAST PACIFIC RISE; MIDOCEAN RIDGES; FRACTURE-ZONE; KERGUELEN PLATEAU; QUENCHED GLASSES; TRACE-ELEMENT</t>
  </si>
  <si>
    <t>The statistical analysis of the compositions of glasses from the spreading ridges surrounding Antarctica showed that the process of oceanic crust accretion on them was related mainly to the generation and fractionation of initial melts (TOR-2 type) typical of all oceanic spreading zones except for the North Atlantic. Deeper melts (TOR-1) occur in the areas with a hotter lithosphere near Bouvet Island. In contrast, sodium-enriched tholeiites generated in shallow levels (Na-TOR) are related to the areas of relatively cold oceanic lithosphere, i.e., boundary zones between large tectonic provinces of spreading zones, which have their own evolutionary history. A comparison of isotopic signatures of the enriched tholeiites of the ridges demonstrated that their formation was connected with the melting of a source, which could be represented either by altered subcontinental mantle or continental crust.</t>
  </si>
  <si>
    <t>Russian Acad Sci, Vernadsky Inst Geochem &amp; Analyt Chem, Moscow 119991, Russia; Russian Acad Sci, Inst Precambrian Geol &amp; Geochronol, St Petersburg 199034, Russia; Moscow MV Lomonosov State Univ, Museum Geosci, Moscow 119899, Russia; All Russia Res Inst Geol &amp; Min Resources World Oc, VNIIOkeanologiya, St Petersburg 190121, Russia</t>
  </si>
  <si>
    <t>Russian Academy of Sciences; Vernadsky Institute of Geochemistry &amp; Analytical Chemistry; Russian Academy of Sciences; Institute of Precambrian Geology &amp; Geochronology of the Russian Academy of Sciences; Lomonosov Moscow State University; A.P. Karpinsky Russian Geological Research Institute (VSEGEI)</t>
  </si>
  <si>
    <t>Russian Acad Sci, Vernadsky Inst Geochem &amp; Analyt Chem, UL Kosygina 19, Moscow 119991, Russia.</t>
  </si>
  <si>
    <t>nadyas@geokhi.ru; boris@BBl40l.spb.edu</t>
  </si>
  <si>
    <t>Tsekhonya, Tatiana I/A-5313-2016; Leitchenkov, German/G-2221-2015</t>
  </si>
  <si>
    <t>Leitchenkov, German/0000-0001-6316-8511</t>
  </si>
  <si>
    <t>0016-7029</t>
  </si>
  <si>
    <t>1556-1968</t>
  </si>
  <si>
    <t>GEOCHEM INT+</t>
  </si>
  <si>
    <t>Geochem. Int.</t>
  </si>
  <si>
    <t>721FZ</t>
  </si>
  <si>
    <t>WOS:000185307500001</t>
  </si>
  <si>
    <t>Hambrey, MJ; Webb, PN; Harwood, DM; Krissek, LA</t>
  </si>
  <si>
    <t>Neogene glacial record from the Sirius Group of the Shackleton Glacier region, central Transantarctic Mountains, Antarctica</t>
  </si>
  <si>
    <t>GEOLOGICAL SOCIETY OF AMERICA BULLETIN</t>
  </si>
  <si>
    <t>Neogene; glacial record; Sirius Group; Antarctica; Shackleton Glacier; Transantarctic Mountains</t>
  </si>
  <si>
    <t>SOUTHERN VICTORIA-LAND; ICE-SHEET; DRY-VALLEYS; GLACIGENIC SEDIMENTS; LANDSCAPE EVOLUTION; ROSS EMBAYMENT; UPLIFT; CLIMATE; RANGE; PALEOCLIMATE</t>
  </si>
  <si>
    <t>Neogene glacigenic strata, collectively referred to as the Sirius Group, are widely distributed throughout the Transantarctic Mountains. The group is particularly well exposed near the head of Shackleton Glacier (85degrees10' to 85degrees40'S) on Roberts Massif and at Bennett Platform. These deposits are critical for examining the nature of former ice flow from the East Antarctic Ice Sheet into the Ross Embayment. The Sirius Group rests on a glacially grooved and striated pavement named herein the Shackleton erosion surface. The sub-Sirius Group surface on Roberts Massif was of low relief, and glaciogenic sediment was deposited on it as a sheet of uniform thickness. At Bennett Platform, stratigraphic sections attain a thickness of 110 m thick and are subdivided into the Shackleton Glacier Formation (maximum thickness 98 m) and the overlying Bennett Platform Formation (44 m), separated by an unconformity. A third, older, lithified diamictite containing wood fragments occurs as clasts within these formations and as boulders in the modern lateral moraines of Shackleton Glacier. The dominant facies, massive diamict, is interpreted primarily as lodgement till. Other facies indicate glaciofluvial and glaciolacustrine deposition. Facies associations suggest deposition either by sliding temperate or by polythermal glaciers, under much warmer conditions than those of today. Widespread large- and small-scale faulting has affected the Sirius Group and underlying rocks to the extent that inland exposures are over 500 m higher than those to the north, over a distance of 30 km. Thus, at the time of deposition of the Sirius Group, the mountains were probably lower, and the ice sheet was much thinner.</t>
  </si>
  <si>
    <t>Univ Wales, Inst Geog &amp; Earth Sci, Ctr Glaciol, Aberystwyth SY23 3DB, Dyfed, Wales; Ohio State Univ, Dept Geol Sci, Columbus, OH 43210 USA; Ohio State Univ, Byrd Polar Res Ctr, Columbus, OH 43210 USA; Univ Nebraska, Dept Geosci, Lincoln, NE 68588 USA</t>
  </si>
  <si>
    <t>Aberystwyth University; University System of Ohio; Ohio State University; University System of Ohio; Ohio State University; University of Nebraska System; University of Nebraska Lincoln</t>
  </si>
  <si>
    <t>Univ Wales, Inst Geog &amp; Earth Sci, Ctr Glaciol, Aberystwyth SY23 3DB, Dyfed, Wales.</t>
  </si>
  <si>
    <t>mjh@aber.ac.uk</t>
  </si>
  <si>
    <t>0016-7606</t>
  </si>
  <si>
    <t>1943-2674</t>
  </si>
  <si>
    <t>GEOL SOC AM BULL</t>
  </si>
  <si>
    <t>Geol. Soc. Am. Bull.</t>
  </si>
  <si>
    <t>10.1130/B25183.1</t>
  </si>
  <si>
    <t>709XR</t>
  </si>
  <si>
    <t>WOS:000184652300008</t>
  </si>
  <si>
    <t>Fretzdorff, S; Haase, KM; Leat, PT; Livermore, RA; Garbe-Schönberg, CD; Fietzke, J; Stoffers, P</t>
  </si>
  <si>
    <t>230Th-238U disequilibrium in East Scotia backarc basalts:: Implications for slab contributions</t>
  </si>
  <si>
    <t>East Scotia Ridge; backarc; U-series isotopes; aqueous fluids; sediment melts</t>
  </si>
  <si>
    <t>ARC SPREADING CENTER; U-SERIES; RATES BENEATH; MANTLE FLOW; SUBDUCTION; CONSTRAINTS; CONSEQUENCES; PETROGENESIS; SYSTEMATICS; EVOLUTION</t>
  </si>
  <si>
    <t>New U-series isotope data for lavas from the East Scotia backarc spreading center span a large range in (Th-230/Th-232) and (U-238/Th-232). Most of the backarc lavas have (U-238/Th-230) &lt; 1, similar to the composition of mid-oceanic-ridge basalts (MORB). Lavas from two segments have (U-238/Th-230) &gt; 1 and are enriched in fluid-mobile elements, implying a recent addition of a U-rich slab-derived component. The data from one segment suggest an influence from an aqueous fluid from altered MORB, whereas samples from the other slab-influenced segment show addition of a sediment melt. The slab-influenced samples form a distinct trend in the equiline diagram between aqueous fluid and sediment melt that is suggested to be a mixing line rather than an isochron.</t>
  </si>
  <si>
    <t>Univ Kiel, Inst Geowissensch, D-24089 Kiel, Germany; British Antarctic Survey, Cambridge CB3 0ET, England</t>
  </si>
  <si>
    <t>University of Kiel; UK Research &amp; Innovation (UKRI); Natural Environment Research Council (NERC); NERC British Antarctic Survey</t>
  </si>
  <si>
    <t>Fretzdorff, S (corresponding author), Univ Kiel, Inst Geowissensch, Olshausenstr 40, D-24089 Kiel, Germany.</t>
  </si>
  <si>
    <t>sf@gpi.uni-kiel.de; kh@gpi.uni-kiel.de; ptle@bas.ac.uk; ral@bas.ac.uk; cdg@gpi.uni-kiel.de; jf@gpi.uni-kiel.de; pst@gpi.uni-kiel.de</t>
  </si>
  <si>
    <t>Livermore, Roy/M-1566-2019; Garbe-Schönberg, Dieter/E-2439-2016; Garbe-Schönberg, Dieter/AAO-3827-2020</t>
  </si>
  <si>
    <t>Garbe-Schönberg, Dieter/0000-0001-9006-9463; Haase, Karsten/0000-0003-4768-5978</t>
  </si>
  <si>
    <t>10.1130/G19469.1</t>
  </si>
  <si>
    <t>710AJ</t>
  </si>
  <si>
    <t>WOS:000184658400010</t>
  </si>
  <si>
    <t>Modigh, M; Castaldo, S; Saggiomo, M; Santarpia, I</t>
  </si>
  <si>
    <t>Distribution of tintinnid species from 42° N to 43° S through the Indian Ocean</t>
  </si>
  <si>
    <t>37th European Marine Biology Symposium</t>
  </si>
  <si>
    <t>AUG 05-09, 2002</t>
  </si>
  <si>
    <t>REYKJAVIK, ICELAND</t>
  </si>
  <si>
    <t>tintinnids; biogeography; diversity; oligotrophic</t>
  </si>
  <si>
    <t>MEDITERRANEAN-SEA; ARABIAN SEA; DIVERSITY; ABUNDANCE; CILIOPHORA; PROTOZOA; MONSOON; BIOMASS; MICROZOOPLANKTON; NANOPLANKTON</t>
  </si>
  <si>
    <t>Taking advantage of the transfer of the Italian R/V Italica from Italy to New Zealand for the Italian Research Expedition in the Antarctic, surface sampling of plankton was carried out from 42degreesN to 43degreesS from 14 November to 16 December 2001. Collaboration between several Italian research groups resulted in the Mediterranean, Indian and Pacific Ocean Transect (MIPOT), aimed to merge oceanographic measurements with remotely sensed data and to study latitudinal changes in plankton communities. We present preliminary results on the tintinnids (abundance and species composition) along the MIPOT1 transect. Tintinnid distributions and food vacuole contents are discussed in relation to chlorophyll concentrations and contribution of phytoplankton size classes. Generally, chlorophyll concentrations were well below 0.5 mg m(-3) and tintinnid numbers were only a few tens per liter. Eighty-six tintinnid species belonging to 27 genera were recorded. Highest diversity and number of tintinnid species occurred in the warm-water regions, from the Mediterranean Sea to the Tropic of Capricorn. Shannon diversity index ranged from 1.0 (Tasman Sea) up to 2.9 (tropical Indian Ocean). Each of the oceanic provinces showed a well defined tintinnid assemblage, a tintinnid 'fingerprint' characterizing each area. Data are compared to previous records for the different areas and the persistence in time of typical tintinnid species is discussed.</t>
  </si>
  <si>
    <t>Staz Zool Anton Dohrn, I-80121 Naples, Italy; Univ Naples Federico II, Dept Zool, I-80134 Naples, Italy</t>
  </si>
  <si>
    <t>Stazione Zoologica Anton Dohrn di Napoli; University of Naples Federico II</t>
  </si>
  <si>
    <t>Modigh, M (corresponding author), Staz Zool Anton Dohrn, Villa Comunale, I-80121 Naples, Italy.</t>
  </si>
  <si>
    <t>modigh@szn.it</t>
  </si>
  <si>
    <t>Saggiomo, Maria/0000-0001-5794-0050</t>
  </si>
  <si>
    <t>1573-5117</t>
  </si>
  <si>
    <t>10.1023/B:HYDR.0000008477.38383.d6</t>
  </si>
  <si>
    <t>765XH</t>
  </si>
  <si>
    <t>WOS:000188316000027</t>
  </si>
  <si>
    <t>De Robertis, A; Schell, C; Jaffe, JS</t>
  </si>
  <si>
    <t>Acoustic observations of the swimming behavior of the euphausiid Euphausia pacifica Hansen</t>
  </si>
  <si>
    <t>ICES JOURNAL OF MARINE SCIENCE</t>
  </si>
  <si>
    <t>acoustic tracking; bioluminescence; euphausiid; krill; swimming behavior</t>
  </si>
  <si>
    <t>DIEL VERTICAL MIGRATION; ANTARCTIC KRILL; OXYGEN-CONSUMPTION; BRITISH-COLUMBIA; IMAGING-SYSTEM; ACARTIA-TONSA; ZOOPLANKTON; SUPERBA; SONAR; BIOLUMINESCENCE</t>
  </si>
  <si>
    <t>A high-resolution, 445 kHz, multi-beam sonar and new data-processing techniques were used to characterize the swimming behavior of the euphausiid Euphausia pacifica Hansen, in Saanich Inlet, British Columbia. The instrument was deployed when the euphausiids were at depth during the day and during dusk periods of population ascent. Three-dimensional swimming paths of individual euphausiids were reconstructed by linking successive, acoustically-determined positions. Median swimming speeds were 1.8 cm s(-1) during the day and 2.2-3.5 cm s(-1) during dusk periods of vertical ascent. The presence of a fish at distances of 20-300 cm did not affect the swimming speed or turning of the euphausiids, suggesting that they did not respond to the presence of a potential predator at these distances. Euphausiids moved primarily obliquely in the vertical plane, with few individuals moving directly up or down, even during periods of vertical migration at dusk. We hypothesize that oblique swimming trajectories of euphausiids may reduce vulnerability to visual predators by allowing them to maintain bioluminescent counter-illumination during vertical migration. (C) 2003 International Council for the Exploration of the Sea. Published by Elsevier Ltd. All rights reserved.</t>
  </si>
  <si>
    <t>Scripps Inst Oceanog, Marine Phys Lab, La Jolla, CA 92039 USA</t>
  </si>
  <si>
    <t>De Robertis, A (corresponding author), NW Fisheries Sci Ctr, Hatfield Marine Sci Ctr, Newport, OR 97365 USA.</t>
  </si>
  <si>
    <t>ACADEMIC PRESS LTD ELSEVIER SCIENCE LTD</t>
  </si>
  <si>
    <t>24-28 OVAL RD, LONDON NW1 7DX, ENGLAND</t>
  </si>
  <si>
    <t>1054-3139</t>
  </si>
  <si>
    <t>ICES J MAR SCI</t>
  </si>
  <si>
    <t>ICES J. Mar. Sci.</t>
  </si>
  <si>
    <t>10.1016/S1054-3139(03)00070-5</t>
  </si>
  <si>
    <t>Fisheries; Marine &amp; Freshwater Biology; Oceanography</t>
  </si>
  <si>
    <t>705LM</t>
  </si>
  <si>
    <t>WOS:000184396600018</t>
  </si>
  <si>
    <t>Remund, QP; Long, DG</t>
  </si>
  <si>
    <t>Large-scale inverse Ku-band backscatter modeling of sea ice</t>
  </si>
  <si>
    <t>IEEE TRANSACTIONS ON GEOSCIENCE AND REMOTE SENSING</t>
  </si>
  <si>
    <t>inverse modeling; national aeronautics and space administration (NASA) scatterometer (NSCAT); scattering models; sea ice; special sensor microwave/imager (SSM/I)</t>
  </si>
  <si>
    <t>ENHANCED RESOLUTION; SCATTEROMETER DATA; RADAR; IDENTIFICATION; SHEET; ERS-1</t>
  </si>
  <si>
    <t>Polar sea ice characteristics provide important inputs to models of several geophysical processes. Microwave scatterometers are ideal for monitoring these regions due to their sensitivity to ice properties and insensitivity to atmospheric distortions. Many forward electromagnetic scattering models have been proposed to predict the normalized radar cross section (sigmadegrees) from sea ice characteristics. These models are based on very small scale ice features and generally assume that the region of interest is spatially homogeneous. Unfortunately, spaceborne scatterometer footprints are very large (5-50 km) and usually contain very heterogeneous mixtures of sea ice surface parameters. In this paper, we use scatterometer data in a large-scale inverse modeling experiment. Given the limited data resolution, we adopt a simple geometric optics forward-scattering model to analyze surface and volume scattering contributions to observed Ku-band signatures. A model inversion technique based on recursive optimization of an objective function is developed. The result is a least squares estimate of three surface parameters: the power reflection coefficient at nadir, the rms surface slope, and the volume scattering albedo. Simulations demonstrate the performance of the method in the presence of noise. The inverse model is implemented using Ku-band image reconstructed data collected by the National Aeronautics and Space Administration scatterometer. The results are used to analyze and interpret sigmadegrees phenomena occurring in the Antarctic and the Arctic.</t>
  </si>
  <si>
    <t>Ball Aerosp &amp; Technol Corp, Boulder, CO 80301 USA; Brigham Young Univ, Dept Elect &amp; Comp Engn, Provo, UT 84602 USA</t>
  </si>
  <si>
    <t>Ball Aerospace &amp; Technologies; Brigham Young University</t>
  </si>
  <si>
    <t>Remund, QP (corresponding author), Ball Aerosp &amp; Technol Corp, Boulder, CO 80301 USA.</t>
  </si>
  <si>
    <t>Long, David G./K-4908-2015</t>
  </si>
  <si>
    <t>Long, David G./0000-0002-1852-3972</t>
  </si>
  <si>
    <t>IEEE-INST ELECTRICAL ELECTRONICS ENGINEERS INC</t>
  </si>
  <si>
    <t>PISCATAWAY</t>
  </si>
  <si>
    <t>445 HOES LANE, PISCATAWAY, NJ 08855 USA</t>
  </si>
  <si>
    <t>0196-2892</t>
  </si>
  <si>
    <t>IEEE T GEOSCI REMOTE</t>
  </si>
  <si>
    <t>IEEE Trans. Geosci. Remote Sensing</t>
  </si>
  <si>
    <t>10.1109/TGRS.2003.813495</t>
  </si>
  <si>
    <t>Geochemistry &amp; Geophysics; Engineering, Electrical &amp; Electronic; Remote Sensing; Imaging Science &amp; Photographic Technology</t>
  </si>
  <si>
    <t>Geochemistry &amp; Geophysics; Engineering; Remote Sensing; Imaging Science &amp; Photographic Technology</t>
  </si>
  <si>
    <t>713MJ</t>
  </si>
  <si>
    <t>Green Published, Green Submitted</t>
  </si>
  <si>
    <t>WOS:000184861700008</t>
  </si>
  <si>
    <t>Singh, SK; Kumar, S; Gwal, AK</t>
  </si>
  <si>
    <t>Daytime very low frequency (VLF) emissions observed at Maitri station, Antarctica</t>
  </si>
  <si>
    <t>INDIAN JOURNAL OF PHYSICS AND PROCEEDINGS OF THE INDIAN ASSOCIATION FOR THE CULTIVATION OF SCIENCE-PART B</t>
  </si>
  <si>
    <t>VLF emission; whistler; electromagnetic field; propagational characteristics</t>
  </si>
  <si>
    <t>WAVE NORMAL DIRECTIONS; MACQUARIE ISLAND; CHORUS; WHISTLER; HISS; MAGNETOSPHERE</t>
  </si>
  <si>
    <t>The present paper deals with the study of naturally occurring Very Low Frequency (VLF) radio waves at Indian Antarctic Station, Maitri (70degrees 46'S, 11degrees 44'E) on the basis of routine continuous observation made during day time. From the detail analysis of daytime data on the basis of continuous observation made at the ground station, we have presented a few of VLF phenomena such as rising types of emissions - discrete and periodic emissions. These recent observations at Maitri, Antarctica may reveal propagational characteristic for the various VLF emissions generated during daytime.</t>
  </si>
  <si>
    <t>Barkatullah Univ, Dept Elect, Space Sci Lab, Bhopal 462026, Madhya Pradesh, India</t>
  </si>
  <si>
    <t>Barkatullah University</t>
  </si>
  <si>
    <t>Gwal, AK (corresponding author), Barkatullah Univ, Dept Elect, Space Sci Lab, Bhopal 462026, Madhya Pradesh, India.</t>
  </si>
  <si>
    <t>INDIAN ASSOC CULTIVATION SCIENCE</t>
  </si>
  <si>
    <t>KOLKATA</t>
  </si>
  <si>
    <t>INDIAN J PHYSICS, JADAVPUR, KOLKATA 700 032, INDIA</t>
  </si>
  <si>
    <t>0252-9254</t>
  </si>
  <si>
    <t>INDIAN J PHYS PT-B</t>
  </si>
  <si>
    <t>Indian J. Phys. Proc. Indian Assoc. Cultiv. Sci. B</t>
  </si>
  <si>
    <t>77B</t>
  </si>
  <si>
    <t>Multidisciplinary Sciences; Physics, Multidisciplinary</t>
  </si>
  <si>
    <t>Science &amp; Technology - Other Topics; Physics</t>
  </si>
  <si>
    <t>734MK</t>
  </si>
  <si>
    <t>WOS:000186059600012</t>
  </si>
  <si>
    <t>Bigg, GR; Jickells, TD; Liss, PS; Osborn, TJ</t>
  </si>
  <si>
    <t>The role of the oceans in climate</t>
  </si>
  <si>
    <t>INTERNATIONAL JOURNAL OF CLIMATOLOGY</t>
  </si>
  <si>
    <t>climate system; air-sea exchange; carbon cycle; sulphur cycle; aerosols; tropical climate; decadal variability; thermohaline circulation</t>
  </si>
  <si>
    <t>LAST GLACIAL MAXIMUM; ATLANTIC THERMOHALINE CIRCULATION; AIR-SEA INTERACTION; ANTARCTIC CIRCUMPOLAR WAVE; NORTH-ATLANTIC; TROPICAL ATLANTIC; COUPLED MODEL; GAS-EXCHANGE; FRESH-WATER; ATMOSPHERIC AEROSOLS</t>
  </si>
  <si>
    <t>The ocean is increasingly seen as a vital component of the climate system. It exchanges with the atmosphere large quantities of heat. water, gases, particles and momentum. It is an important part of the global redistribution of heat from tropics to polar regions keeping our planet habitable, particularly equatorward of about 30degrees. In this article we review recent work examining the role of the oceans in climate, focusing on research in the Third Assessment Report of the IPCC and later. We discuss the general nature of oceanic climate variability and the large role played by stochastic variability in the interaction of the atmosphere and ocean. We consider the growing evidence for biogeochemical interaction of climatic significance between ocean and atmosphere. Air-sea exchange of several radiatively important gases, in particular CO,, is a major mechanism for altering their atmospheric concentrations. Some more reactive gases, such as dimethyl sulphide, can alter cloud formation and hence albedo. Particulates containing iron and originating over land can alter ocean primary productivity and hence feedbacks to other biogeochemical exchanges. We show that not only the tropical Pacific Ocean basin can exhibit coupled ocean-atmosphere interaction, but also the tropical Atlantic and Indian Oceans. Longer lived interactions in the North Pacific and Southern Ocean (the circumpolar wave) are also reviewed. The role of the thermohaline circulation in long-term and abrupt climatic change is examined, with the freshwater budget of the ocean being a key factor for the degree, and longevity, of change. The potential for the Mediterranean outflow to contribute to abrupt change is raised. We end by examining the probability of thermohaline changes in a future of global warming. Copyright (C) 2003 Royal Meteorological Society.</t>
  </si>
  <si>
    <t>Univ E Anglia, Sch Environm Sci, Norwich NR4 7TJ, Norfolk, England</t>
  </si>
  <si>
    <t>University of East Anglia</t>
  </si>
  <si>
    <t>Univ Sheffield, Dept Geog, Winter St, Sheffield S10 2TN, S Yorkshire, England.</t>
  </si>
  <si>
    <t>g.bigg@uea.ac.uk</t>
  </si>
  <si>
    <t>LISS, Peter S./A-8219-2013; Osborn, Timothy/AAK-9279-2020; Bigg, Grant/GXW-2219-2022</t>
  </si>
  <si>
    <t>Osborn, Timothy/0000-0001-8425-6799;</t>
  </si>
  <si>
    <t>0899-8418</t>
  </si>
  <si>
    <t>1097-0088</t>
  </si>
  <si>
    <t>INT J CLIMATOL</t>
  </si>
  <si>
    <t>Int. J. Climatol.</t>
  </si>
  <si>
    <t>10.1002/joc.926</t>
  </si>
  <si>
    <t>709CR</t>
  </si>
  <si>
    <t>WOS:000184607600001</t>
  </si>
  <si>
    <t>Alonzo, SH; Switzer, PV; Mangel, M</t>
  </si>
  <si>
    <t>An ecosystem-based approach to management: using individual behaviour to predict the indirect effects of Antarctic krill fisheries on penguin foraging</t>
  </si>
  <si>
    <t>JOURNAL OF APPLIED ECOLOGY</t>
  </si>
  <si>
    <t>behavioural plasticity; habitat selection; species interactions</t>
  </si>
  <si>
    <t>SOUTH-SHETLAND-ISLANDS; EUPHAUSIA-SUPERBA; CHINSTRAP PENGUINS; HABITAT SELECTION; VERTICAL-DISTRIBUTION; SPATIALLY EXPLICIT; MACARONI PENGUINS; MARINE ECOSYSTEM; KING PENGUINS; FUR SEALS</t>
  </si>
  <si>
    <t>1. Changes in species' abundance and distributions caused by human disturbances can have indirect effects on other species in a community. Although ecosystem approaches to management are becoming increasingly prevalent, they require a fuller understanding of how individual behaviour determines interactions within and between species. 2. Ecological interactions involving krill are of major importance to many species within the Antarctic. Despite extensive knowledge of the ecosystem that they occupy, there is still incomplete understanding of the links between species and the effect of environmental conditions on these interactions. In this study, we extended a behavioural model used previously to understand the interactions between penguins and krill to determine the indirect effect of krill fisheries on penguin foraging success and behaviour in adjacent breeding sites. 3. Increased fishing pressure offshore is predicted to reduce penguin food intake. Given the documented links between krill and penguins, this also leads to a prediction of decreased penguin survival and reproduction. Krill behaviour is predicted to cause stronger effects of krill fisheries than explained solely by the percentage of biomass removed. Environmental conditions that decrease krill growth rates or cause krill to spend time in deeper water are also predicted to increase the magnitude of the effect of fishing on penguin success. We show that changes in penguin foraging behaviour can be used to assess the impact of local fisheries on penguin reproductive success. 4. Synthesis and applications. These results demonstrate that an understanding of predator-prey interactions, indirect effects between species, and individual behaviour is imperative to our ability to manage populations. We describe a general method to use what is known about ecological and evolutionary processes with species-specific information to predict the response of organisms to novel situations. We further show how individual behaviour can be used to assess the impact of human disturbance on ecosystems.</t>
  </si>
  <si>
    <t>Univ Calif Santa Cruz, Inst Marine Sci, Santa Cruz, CA 95064 USA; Univ Calif Santa Cruz, Dept Appl Math &amp; Stat, Santa Cruz, CA 95064 USA; Univ Calif Santa Cruz, Ctr Shock Assessment Res, Santa Cruz, CA 95064 USA; Eastern Illinois Univ, Dept Biol Sci, Charleston, IL 61920 USA</t>
  </si>
  <si>
    <t>University of California System; University of California Santa Cruz; University of California System; University of California Santa Cruz; University of California System; University of California Santa Cruz; Eastern Illinois University</t>
  </si>
  <si>
    <t>Alonzo, SH (corresponding author), Univ Calif Santa Cruz, Inst Marine Sci, 1156 High St, Santa Cruz, CA 95064 USA.</t>
  </si>
  <si>
    <t>Alonzo, Suzanne/0000-0001-7757-0528</t>
  </si>
  <si>
    <t>0021-8901</t>
  </si>
  <si>
    <t>J APPL ECOL</t>
  </si>
  <si>
    <t>J. Appl. Ecol.</t>
  </si>
  <si>
    <t>10.1046/j.1365-2664.2003.00830.x</t>
  </si>
  <si>
    <t>700JQ</t>
  </si>
  <si>
    <t>WOS:000184109200009</t>
  </si>
  <si>
    <t>Hindell, MA; Bradshaw, CJA; Sumner, MD; Michael, KJ; Burton, HR</t>
  </si>
  <si>
    <t>Dispersal of female southern elephant seals and their prey consumption during the austral summer: relevance to management and oceanographic zones</t>
  </si>
  <si>
    <t>bootstrap models; Mirounga leonina; seal management; spatial power</t>
  </si>
  <si>
    <t>ANTARCTIC FUR SEALS; MIROUNGA-LEONINA; ARCTOCEPHALUS-GAZELLA; FORAGING ECOLOGY; DIVING BEHAVIOR; MOVEMENTS; PENGUINS; MACQUARIE; DIET; PREDATORS</t>
  </si>
  <si>
    <t>1. Numerical models that predict trophic structure require both accurate information on prey consumption rates and estimates of spatial and temporal variation. In the Southern Ocean little information exists on the spatial and temporal patterns of resource use by predators, so we attempted to examine these patterns for an important Antarctic predator, the southern elephant seal. We (i) defined the area of the ocean used by the adult female component of the elephant seal population at Macquarie Island; (ii) quantified the time these seals spent in the different regions of the Southern Ocean; and (iii) estimated the biomass of fish and squid prey consumed per fortnight and per region. 2. We used data from 42 post-breeding females collected from 1992 to 2001. The data consisted of locations determined by geo-location (based on light intensity) recorded using dataloggers. A randomized, incremental analysis of at-sea locations indicated that a sample of 25 individuals was required to provide 95% coverage of the total area of ocean used. 3. The greatest amount of time (44.6%) was spent in the region between the Antarctic Polar Front (APF) and the Subantarctic Front (SAF). Up to 20% of time was spent south of the Antarctic Circle or within Commission for the Conservation of Antarctic Marine Living Resources (CCAMLR) Statistical Subareas, indicating that seals from Macquarie Island are also important summer-time predators in high Antarctic waters. 4. The adult female population was estimated to consume 122.73-125.81 x 10(6) MJ for the post-lactation foraging trip (31 142-31 925 tonnes of prey). Of this, 47.2-53.4% was consumed within the CCAMLR Statistical Subareas and the Australian and New Zealand exclusive economic zones (EEZ). 5. Synthesis and applications . Our study emphasizes that (i) a large sample of individual seals (25) can estimate spatial trends in prey consumption; (ii) much of the estimated prey consumption occurs within fishery-managed zones, therefore elephant seals should be included in models predicting trophic structure in the Southern Ocean; and (iii) recent commercial fishery catch within these zones is minimal relative to the prey consumed by elephant seals, but increases in fishing activity in these zones may result in competition for marine resources.</t>
  </si>
  <si>
    <t>Univ Tasmania, Sch Zool, Antarctic Wildlife Res Unit, Hobart, Tas 7001, Australia; Univ Tasmania, Antarctic CRC, Hobart, Tas 7001, Australia; Univ Tasmania, Inst Antarctic &amp; So Ocean Studies, Hobart, Tas 7001, Australia; Australian Antarctic Div, Kingston, Tas 7050, Australia</t>
  </si>
  <si>
    <t>University of Tasmania; University of Tasmania; University of Tasmania; Australian Antarctic Division</t>
  </si>
  <si>
    <t>Univ Tasmania, Sch Zool, Antarctic Wildlife Res Unit, GPO Box 252-05, Hobart, Tas 7001, Australia.</t>
  </si>
  <si>
    <t>mark.hindell@utas.edu.au</t>
  </si>
  <si>
    <t>Bradshaw, Corey J. A./A-1311-2008; Sumner, Michael D/J-3478-2013; Hindell, Mark A/K-1131-2013; Hindell, Mark A/C-8368-2013; Michael, Kelvin/J-7217-2014</t>
  </si>
  <si>
    <t>Bradshaw, Corey J. A./0000-0002-5328-7741; Michael, Kelvin/0000-0002-5427-7393; Hindell, Mark/0000-0002-7823-7185; Sumner, Michael/0000-0002-2471-7511</t>
  </si>
  <si>
    <t>1365-2664</t>
  </si>
  <si>
    <t>10.1046/j.1365-2664.2003.00832.x</t>
  </si>
  <si>
    <t>WOS:000184109200010</t>
  </si>
  <si>
    <t>Nichol, SE; Pfister, G; Bodeker, GE; McKenzie, RL; Wood, SW; Bernhard, G</t>
  </si>
  <si>
    <t>Moderation of cloud reduction of UV in the Antarctic due to high surface albedo</t>
  </si>
  <si>
    <t>JOURNAL OF APPLIED METEOROLOGY</t>
  </si>
  <si>
    <t>TOTAL OZONE ABUNDANCE; NEW-ZEALAND; ULTRAVIOLET-RADIATION; ERYTHEMAL IRRADIANCE; OPTICAL DEPTH; DAVIS-STATION; NETWORK; SNOW; TOPOGRAPHY; RADIOMETRY</t>
  </si>
  <si>
    <t>To gauge the impact of clouds on erythemal (sunburn causing) UV irradiances under different surface albedo conditions, UV measurements from two Antarctic sites (McMurdo and South Pole Stations) and a midlatitude site (Lauder, New Zealand) are examined. The surface albedo at South Pole remains high throughout the year, at McMurdo it has a strong annual cycle, and at Lauder it is low throughout the year. The measurements at each site are divided into clear and cloudy subsets and are compared with modeled clear-sky irradiances to assess the attenuation of UV by clouds. A radiative transfer model is also used to interpret the observations. Results show increasing attenuation of UV with increasing cloud optical depth, but a high surface albedo can moderate this attenuation as a result of multiple scattering between the surface and cloud base. This effect is of particular importance at high latitudes where snow may be present during the summer months. There is also a tendency toward greater cloud attenuation with increasing solar zenith angle.</t>
  </si>
  <si>
    <t>Natl Inst Water &amp; Atmospher Res, Lauder, New Zealand; Biospher Inc, San Diego, CA USA</t>
  </si>
  <si>
    <t>National Institute of Water &amp; Atmospheric Research (NIWA) - New Zealand</t>
  </si>
  <si>
    <t>Nichol, SE (corresponding author), NIWA, Private Bag 14901, Wellington, New Zealand.</t>
  </si>
  <si>
    <t>Bernhard, Germar/AAZ-7169-2020; Bodeker, Greg E/A-8870-2008; Pfister, Gabriele/A-9349-2008</t>
  </si>
  <si>
    <t>Bernhard, Germar/0000-0002-1264-0756; McKenzie, Richard Lloyd/0000-0002-4484-7057; Bodeker, Gregory/0000-0003-1094-5852</t>
  </si>
  <si>
    <t>0894-8763</t>
  </si>
  <si>
    <t>J APPL METEOROL</t>
  </si>
  <si>
    <t>J. Appl. Meteorol.</t>
  </si>
  <si>
    <t>10.1175/1520-0450(2003)042&lt;1174:MOCROU&gt;2.0.CO;2</t>
  </si>
  <si>
    <t>704YW</t>
  </si>
  <si>
    <t>WOS:000184370400010</t>
  </si>
  <si>
    <t>Hunter, JR</t>
  </si>
  <si>
    <t>On the temperature correction of the aquatrak acoustic tide gauge</t>
  </si>
  <si>
    <t>JOURNAL OF ATMOSPHERIC AND OCEANIC TECHNOLOGY</t>
  </si>
  <si>
    <t>Temperature corrections for the Aquatrak acoustic tide gauge are derived. These account for variable temperature ( and hence sound velocity) along the sounding tube, thermal expansion of the calibration tube, and the thermal response of the transducer/controller combination. When averaged over long periods ( e. g., seasonal), the corrections are typically several millimeters in magnitude, with short-period ( e. g., diurnal) variations as large as several centimeters. The correction associated with thermal expansion of the calibration tube is of the same order as the correction for variable sound velocity, which is already applied at some Aquatrak installations. The corrections derived here relate to the situation in which an initial adjustment has been made by the manufacturer ( making the calibration tube a fixed known length under factory conditions), and a subsequent calibration is performed to define a single zero offset for the instrument.</t>
  </si>
  <si>
    <t>Univ Tasmania, Antarctic Cooperat Res Ctr, Hobart, Tas 7001, Australia</t>
  </si>
  <si>
    <t>University of Tasmania</t>
  </si>
  <si>
    <t>Hunter, JR (corresponding author), Univ Tasmania, Antarctic Cooperat Res Ctr, Private Bag 80, Hobart, Tas 7001, Australia.</t>
  </si>
  <si>
    <t>0739-0572</t>
  </si>
  <si>
    <t>J ATMOS OCEAN TECH</t>
  </si>
  <si>
    <t>J. Atmos. Ocean. Technol.</t>
  </si>
  <si>
    <t>10.1175/1520-0426(2003)020&lt;1230:OTTCOT&gt;2.0.CO;2</t>
  </si>
  <si>
    <t>Engineering, Ocean; Meteorology &amp; Atmospheric Sciences</t>
  </si>
  <si>
    <t>Engineering; Meteorology &amp; Atmospheric Sciences</t>
  </si>
  <si>
    <t>709GT</t>
  </si>
  <si>
    <t>WOS:000184618000013</t>
  </si>
  <si>
    <t>Kazuoka, T; Takigawa, S; Arakawa, N; Hizukuri, Y; Muraoka, I; Oikawa, T; Soda, K</t>
  </si>
  <si>
    <t>Novel psychrophilic and thermolabile L-threonine dehydrogenase from psychrophilic Cytophaga sp strain KUC-1</t>
  </si>
  <si>
    <t>UDP-GALACTOSE 4-EPIMERASE; ESCHERICHIA-COLI K-12; BACILLUS-SPHAERICUS; PSEUDOMONAS-CRUCIVIAE; PURIFICATION; LIVER; BINDING</t>
  </si>
  <si>
    <t>A psychrophilic bacterium, Cytophaga sp. strain KUC-1, that abundantly produces a NAD+-dependent L-threonine dehydrogenase was isolated from Antarctic seawater, and the enzyme was purified. The molecular weight of the enzyme was estimated to be 139,000, and that of the subunit was determined to be 35,000. The enzyme is a homotetramer. Atomic absorption analysis showed that the enzyme contains no metals. In these respects, the Cytophaga enzyme is distinct from other L-threonine dehydrogenases that have thus far been studied. L-Threonine and DL-threo-3-hydroxynorvaline were the substrates, and NAD(+) and some of its analogs served as coenzymes. The enzyme showed maximum activity at pH 9.5 and at 45 degreesC. The kinetic parameters of the enzyme are highly influenced by temperatures. The K-m for L-threonine was lowest at 20 degreesC. Dead-end inhibition studies with pyruvate and adenosine-5'-diphosphoribose showed that the enzyme reaction proceeds via the ordered Bi Bi mechanism in which NAD(+) binds to an enzyme prior to L-threonine and 2-amino-3-oxobutyrate is released from the enzyme prior to NADH. The enzyme gene was cloned into Escherichia coli, and its nucleotides were sequenced. The enzyme gene contains an open reading frame of 939 by encoding a protein of 312 amino acid residues. The amino acid sequence of the enzyme showed a significant similarity to that of UDP-glucose 4-epimerase from Staphylococcus aureus and belongs to the short-chain dehydrogenase-reductase superfamily. In contrast, L-threonine dehydrogenase from E. coli belongs to the medium-chain alcohol dehydrogenase family, and its amino acid sequence is not at all similar to that of the Cytophaga enzyme. L-Threonine dehydrogenase is significantly similar to an epimerase, which was shown for the first time. The amino acid residues playing an important role in the catalysis of the E. coli and human UDP-glucose 4-epimerases are highly conserved in the Cytophaga enzyme, except for the residues participating in the substrate binding.</t>
  </si>
  <si>
    <t>Kansai Univ, Dept Biotechnol, Fac Engn, Suita, Osaka 5648680, Japan; Kansai Univ, High Technol Res Ctr, Suita, Osaka 5648680, Japan</t>
  </si>
  <si>
    <t>Oikawa, T (corresponding author), Kansai Univ, Dept Biotechnol, Fac Engn, Suita, Osaka 5648680, Japan.</t>
  </si>
  <si>
    <t>10.1128/JB.185.15.4483-4489.2003</t>
  </si>
  <si>
    <t>702RT</t>
  </si>
  <si>
    <t>WOS:000184237800022</t>
  </si>
  <si>
    <t>Venegas, SA</t>
  </si>
  <si>
    <t>The Antarctic Circumpolar Wave: A combination of two signals?</t>
  </si>
  <si>
    <t>NINO-SOUTHERN OSCILLATION; GENERAL-CIRCULATION MODEL; SEA-SURFACE TEMPERATURE; HEAT-FLUX ANOMALIES; ATMOSPHERIC CIRCULATION; INTERANNUAL VARIABILITY; HEMISPHERE CIRCULATION; CLIMATE VARIABILITY; NORTHERN OCEANS; ICE EXTENT</t>
  </si>
  <si>
    <t>A simplified view of the possible mechanisms behind the Antarctic Circumpolar Wave (ACW) interannual variability is provided by a frequency-domain decomposition of several observed atmospheric and oceanic variables. Two significant interannual signals with different temporal and spatial characteristics are identified in the Southern Ocean, and most of the variance of the ACW in the interannual band can be accounted for by a linear combination of them. The first signal has a period of oscillation of around 3.3 yr and a zonal wavenumber-3 structure across the Southern Ocean. It involves self-sustained fluctuations inherent in the Southern Ocean and driven by coupled air - sea interactions in which the atmosphere and the ocean mutually force one another. This signal is represented by an atmospheric standing oscillation with centers at fixed locations around Antarctica and a propagating oceanic pattern, in which the surface Antarctic Circumpolar Current plays an essential role. The second signal has a periodicity of around 5 yr and a zonal wavenumber-2 structure across the Southern Ocean. It seems to be remotely forced by the tropical ENSO phenomenon and has a signature mainly in the eastern Pacific sector. This signal likely represents the southern high-latitude manifestation of a larger-scale ( hemispheric or global) pattern. The constructive or destructive interference of these two superimposed signals with different periodicities and spatial characteristics gives rise to the observed irregular fluctuations of the ACW on the interannual timescale.</t>
  </si>
  <si>
    <t>Univ Copenhagen, Danish Ctr Erath Syst Sci, Niels Bohr Inst Astron Phys &amp; Geophys, DK-2100 Copenhagen, Denmark</t>
  </si>
  <si>
    <t>University of Copenhagen; Niels Bohr Institute</t>
  </si>
  <si>
    <t>Venegas, SA (corresponding author), Univ Copenhagen, Danish Ctr Erath Syst Sci, Niels Bohr Inst Astron Phys &amp; Geophys, Juliane Maries Vej 30, DK-2100 Copenhagen, Denmark.</t>
  </si>
  <si>
    <t>10.1175/1520-0442(2003)016&lt;2509:TACWAC&gt;2.0.CO;2</t>
  </si>
  <si>
    <t>706JL</t>
  </si>
  <si>
    <t>WOS:000184450500005</t>
  </si>
  <si>
    <t>Johnston, IA; Fernández, DA; Calvo, J; Vieira, VLA; North, AW; Abercromby, M; Garland, T</t>
  </si>
  <si>
    <t>Reduction in muscle fibre number during the adaptive radiation of notothenioid fishes:: a phylogenetic perspective</t>
  </si>
  <si>
    <t>antarctic teleosts; growth; muscle fibre recruitment; notothenioid fishes; phylogeny; skeletal muscle</t>
  </si>
  <si>
    <t>ANTARCTIC FISHES; CHAENOCEPHALUS-ACERATUS; SKELETAL-MUSCLE; MYOGLOBIN GENE; METABOLIC-RATE; WHITE MUSCLE; GROWTH; EVOLUTION; TEMPERATURE; TELEOST</t>
  </si>
  <si>
    <t>The fish fauna of the continental shelf of the Southern Ocean is dominated by a single sub-order of Perciformes, the Notothenioidei, which have unusually large diameter skeletal muscle fibres. We tested the hypothesis that in fast myotomal muscle a high maximum fibre diameter (FDmax) was related to a reduction in the number of muscle fibres present at the end of the recruitment phase of growth. We also hypothesized that the maximum fibre number (FNmax) would be negatively related to body size, and that both body size and size-corrected FNmax would show phylogenetic signal (tendency for related species to resemble each other). Finally, we estimated ancestral values for body size and FNmax. A molecular phylogeny was constructed using 12S mitochondrial rRNA sequences. A total of 16 species were studied from the Beagle Channel, Tierra del Fuego (5-11degreesC), Shag Rocks, South Georgia (0.5-4degreesC), and Adelaide Island, Antarctic Peninsula (-1.5 to 0.5degreesC). The absence of muscle fibres of less than 10 mum diameter was used as the criterion for the cessation of fibre recruitment. FDmax increased linearly with standard length (SL), reaching 500-650 gm in most species. Maximum body size was a highly significant predictor of species variation in FNmax, and both body size and size-corrected FNmax showed highly significant phylogenetic signal (P&lt;0.001). Estimates of trait values at nodes of the maximum likelihood phylogenetic tree were consistent with a progressive reduction in fibre number during part of the notothenioid radiation, perhaps serving to reduce basal energy requirements to compensate for the additional energetic costs of antifreeze production. For example, FNmax in Chaenocephalus aceratus (12 700+/-300, mean +/- S.E.M., N=18) was only 7.7% of the value found in Eleginops maclovinus (164000+/-4100, N=17), which reaches a similar maximum length (85 cm). Postembryonic muscle fibre recruitment in teleost fish normally involves stratified followed by mosaic hyperplasia. No evidence for this final phase of growth was found in two of the most derived families (Channichthyidae and Harpagiferidae). The divergence of the notothenioids in Antarctica after the formation of the Antarctic Polar Front and more recent dispersal north would explain the high maximum diameter and low fibre number in the derived sub-Antarctic notothenioids. These characteristics of notothenioids may well restrict their upper thermal tolerance, particularly for Champsocephalus esox and similar Channichthyids that lack respiratory pigments.</t>
  </si>
  <si>
    <t>Univ St Andrews, Sch Biol, Div Environm &amp; Evolut Biol, Gatty Marine Lab, St Andrews KY16 8LB, Fife, Scotland; Consejo Nacl Invest Cient &amp; Tecn, CADIC, RA-9410 Tierra Del Fuego, Argentina; British Antarctic Survey, Cambridge CB3 0ET, England; Univ Calif Riverside, Dept Biol, Riverside, CA 92521 USA</t>
  </si>
  <si>
    <t>University of St Andrews; Consejo Nacional de Investigaciones Cientificas y Tecnicas (CONICET); UK Research &amp; Innovation (UKRI); Natural Environment Research Council (NERC); NERC British Antarctic Survey; University of California System; University of California Riverside</t>
  </si>
  <si>
    <t>Univ St Andrews, Sch Biol, Div Environm &amp; Evolut Biol, Gatty Marine Lab, St Andrews KY16 8LB, Fife, Scotland.</t>
  </si>
  <si>
    <t>iaj@st-and.ac.uk</t>
  </si>
  <si>
    <t>Johnston, Ian A./AAE-2044-2019; Johnston, Ian/D-6592-2013</t>
  </si>
  <si>
    <t>Johnston, Ian/0000-0002-7796-5754; Garland, Theodore/0000-0002-7916-3552; Fernandez, Daniel Alfredo/0000-0002-3367-4138</t>
  </si>
  <si>
    <t>COMPANY BIOLOGISTS LTD</t>
  </si>
  <si>
    <t>BIDDER BUILDING, STATION RD, HISTON, CAMBRIDGE CB24 9LF, ENGLAND</t>
  </si>
  <si>
    <t>1477-9145</t>
  </si>
  <si>
    <t>10.1242/jeb.00474</t>
  </si>
  <si>
    <t>716QV</t>
  </si>
  <si>
    <t>WOS:000185040600018</t>
  </si>
  <si>
    <t>Kaneko, Y; Katayama, I; Yamamoto, H; Misawa, K; Ishikawa, M; Rehman, HU; Kausar, AB; Shiraishi, K</t>
  </si>
  <si>
    <t>Timing of Himalayan ultrahigh-pressure metamorphism: sinking rate and subduction angle of the Indian continental crust beneath Asia</t>
  </si>
  <si>
    <t>JOURNAL OF METAMORPHIC GEOLOGY</t>
  </si>
  <si>
    <t>4th International Eclogite Conference</t>
  </si>
  <si>
    <t>SEP 02-04, 2001</t>
  </si>
  <si>
    <t>NIIHAMA, JAPAN</t>
  </si>
  <si>
    <t>coesite; geothermobarometry; Himalaya; subduction angle; U-PbSHRIMP-dating; ultrahigh-pressure metamorphism; zircon</t>
  </si>
  <si>
    <t>TECTONIC EVOLUTION; CALCIC AMPHIBOLE; ECLOGITE; GARNET; CLINOPYROXENE; COESITE; PHASE; BELT; ZONE; AGE</t>
  </si>
  <si>
    <t>Coesite relics were discovered as inclusions in clinopyroxene in eclogite and as inclusions in zircon in felsic and pelitic gneisses from Higher Himalayan Crystalline rocks in the upper Kaghan Valley, north-west Himalaya. The metamorphic peak conditions of the coesite-bearing eclogites are estimated to be 27-32 kbar and 700-770 degreesC, using garnet-pyroxene-phengite geobarometry and garnet-pyroxene geothermometry, respectively. Cathodoluminescence (CL) and backscattered electron (BSE) imaging distinguished three different domains in zircon: inner detrital core, widely spaced euhedral oscillatory zones, and thin, broadly zoned outermost rims. Each zircon domain contains a characteristic suite of micrometre-sized mineral inclusions which were identified by in situ laser Raman microspectroscopy. Core and mantle domains contain quartz, apatite, plagioclase, muscovite and rutile. In contrast, the rim domains contain coesite and minor muscovite. Quartz inclusions were identified in all coesite-bearing zircon grains, but not coexisting with coesite in the same growth domain (rim domain). (206) Pb/U-238 zircon ages reveal that the quartz-bearing mantle domains and the coesite-bearing rim were formed at c. 50 Ma and 46.2 +/- 0.7 Ma, respectively. These facts demonstrate that the continental materials were buried to 100 km within 7-9 Myr after initiation of the India-Asia collision (palaeomagnetic data from the Indian oceanic floor supports an initial India-Asia contact at 55-53 Ma). Combination of the sinking rate of 1.1-1.4 cm year(-1) with Indian plate velocity of 4.5 cm year(-1) suggests that the Indian continent subducted to about 100 km depth at an average subduction angle of 14-19degrees.</t>
  </si>
  <si>
    <t>Yokohama Natl Univ, Grad Sch Environm &amp; Informat Sci, Yokohama, Kanagawa 2408501, Japan; Tokyo Inst Technol, Dept Earth &amp; Planetary Sci, Tokyo 1528551, Japan; Kagoshima Univ, Dept Earth &amp; Environm Sci, Kagoshima 8900065, Japan; Natl Inst Polar Res, Antarctic Meteorite Res Ctr, Tokyo 1738515, Japan; Geol Survey Pakistan, Geosci Lab, Islamabad, Pakistan</t>
  </si>
  <si>
    <t>Yokohama National University; Tokyo Institute of Technology; Kagoshima University; Research Organization of Information &amp; Systems (ROIS); National Institute of Polar Research (NIPR) - Japan</t>
  </si>
  <si>
    <t>Yokohama Natl Univ, Grad Sch Environm &amp; Informat Sci, Yokohama, Kanagawa 2408501, Japan.</t>
  </si>
  <si>
    <t>kaneko@ynu.ac.jp</t>
  </si>
  <si>
    <t>Katayama, Ikuo/A-9611-2011; Rehman, Hafiz Ur/I-2077-2019; ISHIKAWA, MASAHIRO/P-5342-2014</t>
  </si>
  <si>
    <t>Rehman, Hafiz Ur/0000-0001-6739-5412; ISHIKAWA, MASAHIRO/0000-0003-1628-3116</t>
  </si>
  <si>
    <t>0263-4929</t>
  </si>
  <si>
    <t>1525-1314</t>
  </si>
  <si>
    <t>J METAMORPH GEOL</t>
  </si>
  <si>
    <t>J. Metamorph. Geol.</t>
  </si>
  <si>
    <t>10.1046/j.1525-1314.2003.00466.x</t>
  </si>
  <si>
    <t>706RK</t>
  </si>
  <si>
    <t>WOS:000184467500009</t>
  </si>
  <si>
    <t>Linse, K; Page, TJ</t>
  </si>
  <si>
    <t>Evidence of brooding in Southern Ocean limid bivalves</t>
  </si>
  <si>
    <t>JOURNAL OF MOLLUSCAN STUDIES</t>
  </si>
  <si>
    <t>BENTHIC INVERTEBRATES; LARVAL DEVELOPMENT; DISPERSAL; REPRODUCTION; LIMATULA; MOLLUSCA; LASAEA; GENUS; MODES; SEA</t>
  </si>
  <si>
    <t>British Antarctic Survey, NERC, Cambridge CB3 0ET, England; Griffith Univ, Australian Sch Environm Studies, Nathan, Qld 4111, Australia</t>
  </si>
  <si>
    <t>UK Research &amp; Innovation (UKRI); Natural Environment Research Council (NERC); NERC British Antarctic Survey; Griffith University</t>
  </si>
  <si>
    <t>Linse, K (corresponding author), British Antarctic Survey, NERC, High Cross,Madingley Rd, Cambridge CB3 0ET, England.</t>
  </si>
  <si>
    <t>; Page, Timothy/B-9000-2008</t>
  </si>
  <si>
    <t>Linse, Katrin/0000-0003-3477-3047; Page, Timothy/0000-0002-3521-3503</t>
  </si>
  <si>
    <t>0260-1230</t>
  </si>
  <si>
    <t>J MOLLUS STUD</t>
  </si>
  <si>
    <t>J. Molluscan Stud.</t>
  </si>
  <si>
    <t>10.1093/mollus/69.3.290</t>
  </si>
  <si>
    <t>Marine &amp; Freshwater Biology; Zoology</t>
  </si>
  <si>
    <t>707WN</t>
  </si>
  <si>
    <t>WOS:000184533000013</t>
  </si>
  <si>
    <t>Poore, GCB</t>
  </si>
  <si>
    <t>Revision of Holidoteidae, an endemic southern African family of Crustacea, and re-appraisal of taxa previously included in its three genera (Isopoda: Valvifera)</t>
  </si>
  <si>
    <t>JOURNAL OF NATURAL HISTORY</t>
  </si>
  <si>
    <t>Isopoda; Valvifera; Holidoteidae; Holidotea; Austroarcturus; Neoarcturus; Microarcturus; taxonomy; new species; South Africa; Antarctica</t>
  </si>
  <si>
    <t>The Holidoteidae Wagele, 1989, a family of three genera confined to southern Africa, are reviewed. Diagnoses are given for Austroarcturus Kensley, 1975, Holidotea Barnard, 1920 and Neoarcturus Barnard, 1914. Their type species are re-illustrated. Keys and brief diagnoses are provided to the six species of Austroarcturus , all from shelf depths ( A. africanus Kensley, A. foveolatus Kensley, A. laevis (Kensley), A. quadriconis (Kensley), A. dayi (Kensley), A. similis (Kensley)) and the nine species of Neoarcturus , from slope depths ( N. barnardi (Kensley), N. biserialis (Kensley), N. halei (Kensley), N. kensleyi n. sp., N. longispinus (Kensley), N. nordenstami (Kensley), N. ornatus (Kensley), N. oudops Barnard, N. youngi (Kensley)). Holidotea is monotypic, H. unicornis inhabiting the lower shelf. Southern African species of ' Microarcturus ' Nordenstam, 1933, a generic name without type species and therefore a nomen nudum , are placed in Austroarcturus or Neoarcturus . Non-southern African species (mostly Antarctic or subantarctic) assigned to ' Microarcturus ' or described as species of it are placed in other genera in Antarcturidae, Austrarcturellidae, Pseudidotheidae and Rectarcturidae. 'Microarcturus' mawsoni Hale, Arcturus hirticornis Monod and A. patagonicus Ohlin which were included in ' Microarcturus ' by Nordenstam, and 'M.' rugosus Nordenstam (herein redescribed) are placed in Fissarcturus Brandt. Three others are assigned to Mixarcturus Brandt: 'Microarcturus' abnormis Kussakin, Arcturus acanthurus Monod; and 'Microarcturus' digitatus Nordenstam (herein redescribed). The following, also from Antarctic and subantarctic waters, have also been placed in ' Microarcturus ' at various times and are reallocated to other genera: Antarcturus kilepoae Kussakin, Litarcturus stebbingi (Beddard); Rectarcturus kophameli (Ohlin); Austrarcturella oculata (Beddard); and Pseudidothea scutata (Stephensen). Four poorly known Australian species described by Whitelegge and included by Nordenstam in ' Microarcturus ' remain unclassifiable. A fifth, Arcturus serratulus , also placed in ' Microarcturus ', belongs in an undiagnosed new genus. 'Microarcturus' tannerensis Schultz belongs in another new genus, also as yet undiagnosed. Six Antarctic species, until now members of Neoarcturus , are not members of Holidoteidae and are assigned to the antarcturid genus Fissarcturus ( F. elongatus (Brandt), F. minutus (Brandt), F. poorei (Kussakin and Vasina), F. robustus (Brandt), F. scelerosus (Brandt) and F. stebbingnordenstami (Brandt)). Neoarcturus fungifer Kussakin and Vasina is a probable member of Tuberarcturus and N. caecus Kussakin and Vasina is a member of Antarcturus . N. vinogradovae Kussakin and Vasina, N. cochlearicornis Kussakin and Vasina and N. paxillaris Kussakin and Vasina remain of doubtful generic affinities.</t>
  </si>
  <si>
    <t>Univ Stellenbosch, John R Ellerman Resource Ctr Zool, Dept Zool, ZA-7600 Stellenbosch, South Africa; Victoria &amp; Albert Museum, Melbourne, Vic 3001, Australia</t>
  </si>
  <si>
    <t>Poore, GCB (corresponding author), Univ Stellenbosch, John R Ellerman Resource Ctr Zool, Dept Zool, ZA-7600 Stellenbosch, South Africa.</t>
  </si>
  <si>
    <t>0022-2933</t>
  </si>
  <si>
    <t>J NAT HIST</t>
  </si>
  <si>
    <t>J. Nat. Hist.</t>
  </si>
  <si>
    <t>10.1080/00222930210133273</t>
  </si>
  <si>
    <t>Biodiversity Conservation; Ecology; Zoology</t>
  </si>
  <si>
    <t>Biodiversity &amp; Conservation; Environmental Sciences &amp; Ecology; Zoology</t>
  </si>
  <si>
    <t>686TG</t>
  </si>
  <si>
    <t>WOS:000183336600003</t>
  </si>
  <si>
    <t>Verleyen, E; Hodgson, DA; Vyverman, W; Roberts, D; McMinn, A; Vanhoutte, K; Sabbe, K</t>
  </si>
  <si>
    <t>Modelling diatom responses to climate induced fluctuations in the moisture balance in continental Antarctic lakes</t>
  </si>
  <si>
    <t>JOURNAL OF PALEOLIMNOLOGY</t>
  </si>
  <si>
    <t>Antarctica; Bolingen Islands; benthic diatoms; lake water depth; Larsemann Hills; Rauer Islands; salinity; transfer function; Vestfold Hills; WA-PLS; WA; Windmill Islands</t>
  </si>
  <si>
    <t>FRESH-WATER DIATOMS; CANONICAL CORRESPONDENCE-ANALYSIS; WEIGHTED-AVERAGING REGRESSION; PAST ENVIRONMENTAL-CONDITIONS; CHRYSOPHYTE CYST ASSEMBLAGES; LARSEMANN-HILLS AREA; EAST ANTARCTICA; VESTFOLD HILLS; SALINE LAKES; QUANTITATIVE INDICATORS</t>
  </si>
  <si>
    <t>The water chemistry of lake systems on the edge of the Antarctic continent responds quickly to changes in the moisture balance. This is expressed as increasing salinity and decreasing lake water level during dry periods, and the opposite during wet periods. The diatom composition of the lakes also changes with these fluctuations in salinity and lake water depth. This is important, as their siliceous remains become incorporated into lake sediments and can provide long-term records of past salinity using transfer functions. In order to develop transfer functions, diatoms and water chemistry data were inter-calibrated from five different East Antarctic oases, namely the Larsemann Hills, the Bolingen Islands, the Vestfold Hills, the Rauer Islands and the Windmill Islands. Results indicate that salinity is the most important environmental variable explaining the variance in the diatom flora in East Antarctic lakes. In oligo- saline lakes the variance is mainly explained by lake water depth. This dataset was used to construct a weighted averaging transfer function for salinity in order to infer historical changes in the moisture balance. This model has a jack-knifed r(2) of 0.83 and a RMSEP of 0.31. The disadvantage of this transfer function is that salinity changes in oligo- saline lakes are reconstructed inaccurately due to the 'edge effect' and due to the low species turnover along the salinity gradient at its lower end. In order to infer changes in the moisture balance in these lakes, a second transfer function using weighted averaging partial least squares ( with two components) for depth was constructed. This model has a jack-knifed r(2) of 0.76 and a RMSEP of 0.22. Both transfer functions can be used to infer climate driven changes in the moisture balance in lake sediment cores from oligo-, hypo-, meso- and hyper-saline lakes in East Antarctic oases between 102-758degreesE. The transfer function for lake water depth is promising to track trends in the moisture balance of small freshwater lakes, where changes in shallow and deep-water sediments are readily reflected in changing diatom composition.</t>
  </si>
  <si>
    <t>Univ Ghent, Lab Protistol &amp; Aquat Ecol, B-9000 Ghent, Belgium; British Antarctic Survey, Natl Environm Res Council, Cambridge CB3 OET, England; Univ Tasmania, IASOS, Hobart, Tas 7001, Australia</t>
  </si>
  <si>
    <t>Ghent University; UK Research &amp; Innovation (UKRI); Natural Environment Research Council (NERC); NERC British Antarctic Survey; University of Tasmania</t>
  </si>
  <si>
    <t>Univ Ghent, Lab Protistol &amp; Aquat Ecol, Krijgslaan 281, B-9000 Ghent, Belgium.</t>
  </si>
  <si>
    <t>elie.verleyen@rug.ac.be</t>
  </si>
  <si>
    <t>McMinn, Andrew/A-9910-2008; Dasseville, Renaat/B-3561-2010</t>
  </si>
  <si>
    <t>Roberts, Donna/0000-0001-6701-6662</t>
  </si>
  <si>
    <t>0921-2728</t>
  </si>
  <si>
    <t>1573-0417</t>
  </si>
  <si>
    <t>J PALEOLIMNOL</t>
  </si>
  <si>
    <t>J. Paleolimn.</t>
  </si>
  <si>
    <t>10.1023/A:1025570904093</t>
  </si>
  <si>
    <t>Environmental Sciences; Geosciences, Multidisciplinary; Limnology</t>
  </si>
  <si>
    <t>Environmental Sciences &amp; Ecology; Geology; Marine &amp; Freshwater Biology</t>
  </si>
  <si>
    <t>718BY</t>
  </si>
  <si>
    <t>WOS:000185126300008</t>
  </si>
  <si>
    <t>Bell, EM; Laybourn-Parry, J</t>
  </si>
  <si>
    <t>Mixotrophy in the Antarctic phytoflagellate, Pyramimonas gelidicola (Chlorophyta: Prasinophyceae)</t>
  </si>
  <si>
    <t>JOURNAL OF PHYCOLOGY</t>
  </si>
  <si>
    <t>Antarctica; bacterioplankton; grazing; heterotrophic nanoflagellates; mixotrophy; phototrophic nanoflagellates; Pyramimonas gelidicola</t>
  </si>
  <si>
    <t>LAKE; DYNAMICS; MARINE; PROTISTS; CRYPTOPHYTES; PHOTOTROPHS; PHAGOTROPHY; BACTERIVORY; POPULATION; THYMIDINE</t>
  </si>
  <si>
    <t>Grazing by the planktonic phytoflagellate, Pyramimonas gelidicola McFadden (Chlorophyta: Prasinophyta), and heterotrophic nanoflagellates (HNAN) in meromictic saline Ace Lake in the Vestfold Hills, eastern Antarctica was investigated in the austral summers of 1997 and 1999. Up to 47% of the P. gelidicola population ingested fluorescently labeled prey (FLP). Ingestion rates varied with depth. In January 1997 and November 1999, maximum P. gelidicola ingestion rates of 6.95 and 0.79 FLP.cell(-1) .h(-1) , respectively, were measured at the chemocline (6-8 m) where a deep chl maximum composed of phototrophic nanoflagellates (PNAN DCM), predominantly P. gelidicola , persisted all year. During the summers of 1997 and 1999, the grazing P. gelidicola community removed between 0.4% and approximately 16% of in situ bacterial biomass, equivalent to between 4% and&gt;100% of in situ bacterial production. Because of their higher abundance, the community clearance rates of HNAN in Ace Lake generally exceeded those of P. gelidicola , but HNAN removed approximately only 3%-4% of bacterial biomass, equivalent to between 28% and 32% of bacterial production. Pyramimonas gelidicola growth rates were highest at the PNAN DCM concomitant with the highest ingestion rates. It is estimated that during the summer P. gelidicola can derive up to 30% of their daily carbon requirements from bacterivory at the PNAN DCM. This study confirms mixotrophy as an important strategy by which planktonic organisms can survive in extreme, polar, lacustrine ecosystems.</t>
  </si>
  <si>
    <t>Univ Potsdam, Inst Biochem &amp; Biol, Dept Ecol &amp; Ecosyst Modelling, D-14469 Potsdam, Germany; Univ Nottingham, Sch Life &amp; Environm Sci, Nottingham NG7 2RD, England</t>
  </si>
  <si>
    <t>University of Potsdam; University of Nottingham</t>
  </si>
  <si>
    <t>Bell, EM (corresponding author), Univ Potsdam, Inst Biochem &amp; Biol, Dept Ecol &amp; Ecosyst Modelling, Maulbeerallee 2, D-14469 Potsdam, Germany.</t>
  </si>
  <si>
    <t>BLACKWELL PUBLISHING INC</t>
  </si>
  <si>
    <t>MALDEN</t>
  </si>
  <si>
    <t>350 MAIN ST, MALDEN, MA 02148 USA</t>
  </si>
  <si>
    <t>0022-3646</t>
  </si>
  <si>
    <t>J PHYCOL</t>
  </si>
  <si>
    <t>J. Phycol.</t>
  </si>
  <si>
    <t>10.1046/j.1529-8817.2003.02152.x</t>
  </si>
  <si>
    <t>Plant Sciences; Marine &amp; Freshwater Biology</t>
  </si>
  <si>
    <t>706JT</t>
  </si>
  <si>
    <t>WOS:000184451100003</t>
  </si>
  <si>
    <t>Bryden, HL; Nurser, AJG</t>
  </si>
  <si>
    <t>Effects of strait mixing on ocean stratification</t>
  </si>
  <si>
    <t>JOURNAL OF PHYSICAL OCEANOGRAPHY</t>
  </si>
  <si>
    <t>ROMANCHE FRACTURE-ZONE; ANTARCTIC BOTTOM WATER; ATLANTIC; FLOW; SECTION; EQUATOR</t>
  </si>
  <si>
    <t>The density distribution in the abyssal Atlantic Ocean suggests that mixing associated with overflows across deep sills may account for substantial amounts of deep mixing. Estimates of the strait mixing are made from published estimates of the overflows and the difference between Antarctic Bottom Water densities across the Vema Channel and the Romanche Fracture Zone to demonstrate that the strait mixing is an order of magnitude larger than the abyssal mixing estimated for a standard diffusivity of 1 x 10(-4) m(2) s(-1).</t>
  </si>
  <si>
    <t>Bryden, HL (corresponding author), Southampton Oceanog Ctr, Empress Dock, Southampton SO14 3ZH, Hants, England.</t>
  </si>
  <si>
    <t>0022-3670</t>
  </si>
  <si>
    <t>J PHYS OCEANOGR</t>
  </si>
  <si>
    <t>J. Phys. Oceanogr.</t>
  </si>
  <si>
    <t>10.1175/1520-0485(2003)033&lt;1870:EOSMOO&gt;2.0.CO;2</t>
  </si>
  <si>
    <t>711QW</t>
  </si>
  <si>
    <t>WOS:000184753400020</t>
  </si>
  <si>
    <t>Hunt, BPV; Pakhomov, EA</t>
  </si>
  <si>
    <t>Mesozooplankton interactions with the shelf around the sub-Antarctic Prince Edward Islands archipelago</t>
  </si>
  <si>
    <t>MIGRATING ZOOPLANKTON; SOUTHERN-OCEAN; DYNAMICS; VICINITY; ENVIRONMENT; TOPOGRAPHY; COMMUNITY; SEABIRDS; PENGUINS; SEAMOUNT</t>
  </si>
  <si>
    <t>Mesozooplankton surveys were conducted in April/May for four consecutive years (1996-1999) in the vicinity of the Prince Edward Islands (PEIs), Southern Ocean. The PEIs are located in the Polar Frontal Zone, directly in the path of the east-flowing Antarctic Circumpolar Current. Zooplankton were collected by oblique tows using a Bongo net fitted with 300 mum mesh. The abundance, biomass and average size of the mesozooplankton in the upstream (USR), inter-island (IIR) and downstream (DSR) regions indicated that some groups and species were significantly affected by their interaction with the shallow shelf waters of the PEIs. Total mesozooplankton abundance and biomass were typically highest in the DSR, but no consistent pattern was evident in the USR and IIR. Copepods, euphausiids and fish were generally of a low average size in the IIR. This small size was largely attributed to the reduced abundance, or complete absence, of mesopelagic species from the shelf region. Of total biomass, the mesopelagic species Euphausia longirostris, Euphausia similis, Pleuromamma abdominalis, Paraeuchaeta biloba and Oncaea antarctica together contributed an average of 16% to the USR, 2% to the IIR and 15% to the DSR. Conversely, epipelagic species showed no consistent pattern of abundance and biomass distribution between regions. The low incidence of mesopelagic species over the island shelf was attributed mainly to reduced advection of deep water into the shelf region (average depth = 200 m), rather than predation, particularly during the through-flow mode between the islands. This resulted in substantial regional differences in euphausiid community structure. The epipelagic species Euphausia vallentini and Thysanoessa vicina completely dominated the IIR, comprising on average 89% of total euphausiid biomass in this region. However, predation may be important during the water-trapping mode between the islands. Advection of zooplankton into the IIR appeared to be affected by the proximity of the Subantarctic Front (SAF). In 1996, when the SAF was far north of the PEIs, reduced current velocities resulted in some degree of water retention over the shelf and an increased predation impact. Conversely, when the SAF was close to the PEIs in 1999, more large plankton were transported over the island shelf. High current velocities and productivity associated with the SAF appear to increase the biomass and size of allochthonous zooplankton/nekton advected into the IIR, and consequently may have increased the availability of prey to land-based predators. The long-term southward movement of the SAF recently observed in the vicinity of the PEIs may therefore have important implications for the ecosystem of these islands.</t>
  </si>
  <si>
    <t>Australian Antarctic Div, Kingston, Tas 750, Australia; Univ Ft Hare, Dept Zool, ZA-5700 Alice, South Africa</t>
  </si>
  <si>
    <t>Australian Antarctic Division; University of Fort Hare</t>
  </si>
  <si>
    <t>Hunt, BPV (corresponding author), Australian Antarctic Div, Channel Highway, Kingston, Tas 750, Australia.</t>
  </si>
  <si>
    <t>brian_hun@antdiv.gov.au</t>
  </si>
  <si>
    <t>10.1093/plankt/25.8.885</t>
  </si>
  <si>
    <t>707WF</t>
  </si>
  <si>
    <t>WOS:000184532300002</t>
  </si>
  <si>
    <t>Giner-Robles, JL; González-Casado, JM; Gumiel, P; Martín-Velázquez, S; García-Cuevas, C</t>
  </si>
  <si>
    <t>A kinematic model of the Scotia plate (SW Atlantic Ocean)</t>
  </si>
  <si>
    <t>JOURNAL OF SOUTH AMERICAN EARTH SCIENCES</t>
  </si>
  <si>
    <t>focal mechanisms; plate kinematics; plate tectonics; Scotia plate; Scotia sea</t>
  </si>
  <si>
    <t>INTRAPLATE STRESS-FIELD; FAULT PLANE SOLUTIONS; ANTARCTIC PENINSULA; TECTONIC EVOLUTION; DRAKE PASSAGE; CENTRAL SPAIN; SEA REGION; RIDGE; BASIN; TENSOR</t>
  </si>
  <si>
    <t>The focal mechanisms located around the Scotia plate were examined by fault population analysis to calculate both the trends of the maximum horizontal shortening on the plate and the orientations of its associated faults. The results show that both the northern and southern boundaries of the Scotia plate (the north and south Scotia ridges) are currently undergoing left-lateral movement. This movement induces a left-lateral shear couple in the whole plate, with a maximum horizontal NE-SW shortening direction. The established fault orientations and fault classes closely match the predicted structural pattern of a theoretical shear couple that includes the entire Scotia plate. The stress trajectories deduced from finite element modeling also agree with the proposed left-lateral shear couple model; the calculated stress trajectories are characterized by a homogeneous NE-SW compression direction over the whole Scotia plate. This shear model also explains the slip of recent tectonic structures found at the boundaries of the Scotia plate and suggests the possibility of reactivation of its former tectonic structures. (C) 2003 Elsevier Ltd. All rights reserved.</t>
  </si>
  <si>
    <t>Univ Autonoma Madrid, Dept Quim Agr Geol &amp; Geoquim, E-28049 Madrid, Spain; Inst Geol &amp; Minero Espana, Madrid 28003, Spain; Univ Complutense Madrid, Dept Geodinam, E-28040 Madrid, Spain</t>
  </si>
  <si>
    <t>Autonomous University of Madrid; Complutense University of Madrid</t>
  </si>
  <si>
    <t>jorge.giner@uam.es; g.casado@uam.es</t>
  </si>
  <si>
    <t>; Giner-Robles, Jorge L./H-5063-2011</t>
  </si>
  <si>
    <t>Martin Velazquez, Silvia/0000-0001-7505-2700; Giner-Robles, Jorge L./0000-0002-1507-4796</t>
  </si>
  <si>
    <t>0895-9811</t>
  </si>
  <si>
    <t>J S AM EARTH SCI</t>
  </si>
  <si>
    <t>J. South Am. Earth Sci.</t>
  </si>
  <si>
    <t>10.1016/S0895-9811(03)00064-6</t>
  </si>
  <si>
    <t>776HT</t>
  </si>
  <si>
    <t>WOS:000189111100001</t>
  </si>
  <si>
    <t>Lörz, AN; Coleman, CO</t>
  </si>
  <si>
    <t>Dikwa andresi, a new amphipod crustacean (Dikwidae) from the Scotia Arc</t>
  </si>
  <si>
    <t>The new amphipod crustacean species Dikwa andresi from the Scotia Arc is described in detail. This is the first record of the family Dikwidae in the Southern Ocean. The white species was caught in water depth of 270-290 metres during the Antarctic autumn, living on the red hydrocoral (Hydrozoa) Errinopsis reticulum. It has a carinate pereon and pleon, no eyes and the head is telescoped into the first pereon segment. The first gnathopod is propodochelate, the second gnathopod is simple. The only known species of the family is Dikwa acrania from southern Africa. The new species mainly differs from D. acrania in having dorsal processes on all pereonites and the first coxa being twice as long as the second. An intraspecific variation of the shape of the telson was observed.</t>
  </si>
  <si>
    <t>Univ Hamburg, Inst Zool, D-20146 Hamburg, Germany; Univ Hamburg, Museum Zool, D-20146 Hamburg, Germany; Inst Systemat Zool, Museum Naturkunde, D-10115 Berlin, Germany</t>
  </si>
  <si>
    <t>University of Hamburg; University of Hamburg; Leibniz Institut fur Evolutions und Biodiversitatsforschung</t>
  </si>
  <si>
    <t>aloerz@uni-hamburg.de; oliver.coleman@rz.hu-berlin.de</t>
  </si>
  <si>
    <t>1469-7769</t>
  </si>
  <si>
    <t>10.1017/S002531540300780Xh</t>
  </si>
  <si>
    <t>719KM</t>
  </si>
  <si>
    <t>WOS:000185202300018</t>
  </si>
  <si>
    <t>Siciliano, S; Santos, MCD</t>
  </si>
  <si>
    <t>On the occurrence of the Arnoux's beaked whale (Berardius arnuxii) in Brazil</t>
  </si>
  <si>
    <t>A specimen of Arnoux's beaked whale was recorded froth the coast of Brazil on 4 August 1993. The specimen was identified froth the skeleton in 1994. Arnoux's beaked whales (Beradius arnuxii) arc known to have a circumpolar distribution in the Southern Hemisphere, from the Antarctic: continent and ice edge (78 degreesS) north to about 35 degreesS in the southern Pacific, southern Atlantic, and Indian Ocean. Few sighting and stranding records are known. Its distribution in deep and cold waters, mainly far from the coast and in higher latitudes, is probably the main reason preventing the collection of more information on the biology of this species. It is still considered as 'insufficiently known' by the International Union for the Conservation of Nature and Natural Resources. Sighting records are more common in Antarctic waters, where some individuals sometimes become trapped in ice holes, and ill the South Pacific. Strandings are relatively rare. About 30 strandings Were reported around New Zealand, and single ones occurred in southern Australia, in South Africa, Argentina and the Falkland Island3. The majority of records occurred south of the latitude 40 degreesS (Ross, 1984).</t>
  </si>
  <si>
    <t>GEMM Lagos, Ecol Lab, Dept Endemias, ENSP,FIOCRUZ, BR-21041210 Rio De Janeiro, Brazil; Univ Sao Paulo, Dept Ecol, Inst Biociencias, Projeto Atlantis,LabMar, BR-01454010 Sao Paulo, Brazil</t>
  </si>
  <si>
    <t>Universidade de Sao Paulo</t>
  </si>
  <si>
    <t>Siciliano, S (corresponding author), GEMM Lagos, Ecol Lab, Dept Endemias, ENSP,FIOCRUZ, Rua Leopoldo Bulhoes 14808 Terreo, BR-21041210 Rio De Janeiro, Brazil.</t>
  </si>
  <si>
    <t>Santos, Marcos/AAE-6679-2019; Siciliano, Salvatore/H-7670-2015; Siciliano, Salvatore/GPC-8650-2022; Siciliano, Salvatore/ABD-3352-2020; Santos, MCO/F-3588-2012</t>
  </si>
  <si>
    <t>Santos, MCO/0000-0002-6642-2658; Siciliano, Salvatore/0000-0002-0124-8070</t>
  </si>
  <si>
    <t>10.1017/S0025315403007999h</t>
  </si>
  <si>
    <t>WOS:000185202300037</t>
  </si>
  <si>
    <t>Daneva, D; Shibata, T; Iwasaka, Y; Nagatani, M; Shiraishi, K; Hayashi, M; Fujiwara, M; Neuber, R</t>
  </si>
  <si>
    <t>The mixing state of polar stratospheric cloud particles in sandwich structure observed by lidar - 1. Determination of the mixing state of PSC particles</t>
  </si>
  <si>
    <t>JOURNAL OF THE METEOROLOGICAL SOCIETY OF JAPAN</t>
  </si>
  <si>
    <t>NITRIC-ACID TRIHYDRATE; LIQUID PARTICLES; AEROSOL MEASUREMENTS; ANTARCTIC OZONE; TEMPERATURES; WINTER; VAPOR; DEPLETION; GROWTH; HOLE</t>
  </si>
  <si>
    <t>The mixing state of polar stratospheric cloud (PSC) particles in the vertical sandwich structure observed simultaneously by lidar, and by Optical Particle Counter (OPC) above Ny Alesund on 6(th) January 1996, is investigated. The vertical sandwich structure of PSC (observed by lidar) is characterized by one layer that exhibits large backscattering and low depolarization enclosed between two layers that exhibit low backscattering and high depolarization. The assumption that the observed optical properties of the cloud can be explained by an external mixture of solid and liquid particles is used as a basis for developing a new scheme for interpreting the lidar data. The backscatter and depolarization ratios observed by lidar are employed in equations, that allow for the separate calculation of the backscattering coefficients of the liquid and the solid particles, and for clear distinction of the mixing state of the cloud. Utilization of the developed scheme to analyze the vertical profile of the investigated PSC observed by lidar reveals that no purely liquid or solid layers exist, and that the entire altitude of the cloud can be represented by an external mixture of solid and liquid particles. Comparison of the vertical profiles of the calculated backscattering coefficients of the solid and liquid particles observed by lidar, and the number concentrations of the particles in different size categories observed by the Optical Particle Counter (OPC) implies radiuses of greater than 1.8 mum, and number concentrations of around 10(-4)-10(-3) cm(-3) for the solid particles.</t>
  </si>
  <si>
    <t>Nagoya Univ, Grad Sch Environm Studies, Chikusa Ku, Nagoya, Aichi 4648601, Japan; Nagoya Univ, Grad Sch Sci, Nagoya, Aichi 4648601, Japan; Nagoya Univ, Solar Terr Environm Lab, Nagoya, Aichi, Japan; Fukuoka Univ, Fac Sci, Fukuoka, Japan; Alfred Wegener Inst Polar &amp; Marine Res, Res Uni Potsdam, Potsdam, Germany</t>
  </si>
  <si>
    <t>Nagoya University; Nagoya University; Nagoya University; Fukuoka University; Helmholtz Association; Alfred Wegener Institute, Helmholtz Centre for Polar &amp; Marine Research</t>
  </si>
  <si>
    <t>Shibata, T (corresponding author), Nagoya Univ, Grad Sch Environm Studies, Chikusa Ku, Nagoya, Aichi 4648601, Japan.</t>
  </si>
  <si>
    <t>Neuber, Roland/B-4923-2014</t>
  </si>
  <si>
    <t>Neuber, Roland/0000-0001-7382-7832</t>
  </si>
  <si>
    <t>METEOROLOGICAL SOC JPN</t>
  </si>
  <si>
    <t>C/O JPN METEOROL AGENCY 1-3-4 OTE-MACHI, CHIYODA-KU, TOKYO, JAPAN</t>
  </si>
  <si>
    <t>0026-1165</t>
  </si>
  <si>
    <t>J METEOROL SOC JPN</t>
  </si>
  <si>
    <t>J. Meteorol. Soc. Jpn.</t>
  </si>
  <si>
    <t>10.2151/jmsj.81.747</t>
  </si>
  <si>
    <t>732PF</t>
  </si>
  <si>
    <t>WOS:000185954200006</t>
  </si>
  <si>
    <t>Xavier, JC; Croxall, JP; Trathan, PN; Wood, AG</t>
  </si>
  <si>
    <t>Feeding strategies and diets of breeding grey-headed and wandering albatrosses at South Georgia</t>
  </si>
  <si>
    <t>ANTARCTIC POLAR FRONT; SQUID MARTIALIA-HYADESI; BLACK-BROWED ALBATROSS; DIOMEDEA-EXULANS; CEPHALOPOD PREY; FISHERY BIOLOGY; ECOLOGY; PREDATORS; SEABIRDS; ATLANTIC</t>
  </si>
  <si>
    <t>The foraging areas and diets of the grey-headed albatross Thalassarche chrysostoma and wandering albatross Diomedea exulans were studied in March/April 2000 at Bird Island, South Georgia, during their respective chick-rearing and brood-guard periods. Oceanographically, March/April 2000 was abnormal, with warm conditions close to South Georgia. These conditions affected albatross foraging behaviour, particularly that of grey-headed albatrosses. Both species tended to forage in different areas of the ocean, with significant differences in trip durations. Grey-headed albatrosses (n = 9) foraged mainly in Antarctic waters (predominantly shelf waters of the South Shetland Islands and Antarctic Peninsula, and also in oceanic waters around South Georgia), feeding mainly on krill (Euphausia superba; 77% by mass). Foraging trips lasted 13.3 days (range: 5-26 days), far longer than the 1-3 days found in previous studies. Only one grey-headed albatross was associated with the APF (Antarctic Polar Front), a reported foraging area in recent studies. Wandering albatrosses (n=9) foraged in Antarctic (South Georgia Shelf) and Antarctic Polar Frontal Zone (APFZ) waters, with trips of 1-4 days trip duration (usual for this species), feeding on fish (46% by mass) and cephalopods (32%). One bird was associated with the APF, and two birds foraged on the shelf/shelf break over the Patagonian shelf. These findings suggest that sea surface temperature anomalies, produced by movement of the APF closer to South Georgia or by eddies, may have had an effect on the foraging strategy of greyheaded albatrosses that year (the main prey of grey-headed albatrosses in previous studies, the omma-strephid Martialia hyadesi, is known to be associated with the APF). Also, when both albatross breeding periods overlap, their foraging areas were complementary, which reflected the prey taken.</t>
  </si>
  <si>
    <t>British Antarctic Survey, NERC, Cambridge CB3 0ET, England; Univ Cambridge, Dept Zool, Cambridge CB2 3EJ, England</t>
  </si>
  <si>
    <t>UK Research &amp; Innovation (UKRI); Natural Environment Research Council (NERC); NERC British Antarctic Survey; University of Cambridge</t>
  </si>
  <si>
    <t>Xavier, JC (corresponding author), British Antarctic Survey, NERC, High Cross,Madingley Rd, Cambridge CB3 0ET, England.</t>
  </si>
  <si>
    <t>Xavier, José/KFB-6739-2024</t>
  </si>
  <si>
    <t>/0000-0002-9621-6660</t>
  </si>
  <si>
    <t>10.1007/s00227-003-1049-0</t>
  </si>
  <si>
    <t>725GY</t>
  </si>
  <si>
    <t>WOS:000185536900002</t>
  </si>
  <si>
    <t>McMinn, A; Ryan, K; Gademann, R</t>
  </si>
  <si>
    <t>Diurnal changes in photosynthesis of Antarctic fast ice algal communities determined by pulse amplitude modulation fluorometry</t>
  </si>
  <si>
    <t>SEA-ICE; MCMURDO-SOUND; ULTRAVIOLET-RADIATION; QUANTUM YIELD; UV-RADIATION; MICROALGAE; PHYTOPLANKTON; IRRADIANCE; PHOTOADAPTATION; PRODUCTIVITY</t>
  </si>
  <si>
    <t>The aim of this project was to determine both the diurnal changes in photosynthetic activity of Antarctic sea ice algae and also the protective mechanisms they use to mitigate the effects of in situ UV radiation. Changes in the diurnal photosynthetic parameters of fast ice algal communities at McMurdo Sound were measured in situ, using a custom designed monitoring pulse amplitude modulation fluorometer. The sea ice microalgae were able to adapt rapidly to either increasing or decreasing ambient irradiances. DeltaF/F-m' values were between 0.2 and 0.51, while E-k varied between 2.1 and 18 mumol photons m(-2) s(-1). DeltaF/F-m', E-k, and relative electron transfer rate (rETR) all varied sequentially over the course of a day. rETR and E-k were highest at midday at the highest irradiances, when there was apparent midday down regulation of photosynthesis, while DeltaF/F-m' was highest at midnight. The effects of natural UV radiation on sea ice were examined, but it was not possible to detect the effect of either UVB or UVA and UVB on photosynthesis. This was considered to be largely because of the large spatial and temporal heterogeneity of the under ice community, changing irradiances throughout the day and the relatively small change caused by UV.</t>
  </si>
  <si>
    <t>Univ Tasmania, Inst Antarctic &amp; So Ocean Studies, Hobart, Tas 7001, Australia; Ind Res Ltd, Lower Hutt, New Zealand</t>
  </si>
  <si>
    <t>University of Tasmania; Callaghan Innovation</t>
  </si>
  <si>
    <t>McMinn, A (corresponding author), Univ Tasmania, Inst Antarctic &amp; So Ocean Studies, Box 252-77, Hobart, Tas 7001, Australia.</t>
  </si>
  <si>
    <t>Ryan, Ken/F-5652-2013; McMinn, Andrew/A-9910-2008</t>
  </si>
  <si>
    <t>Ryan, Ken/0000-0001-7075-0112</t>
  </si>
  <si>
    <t>10.1007/s00227-003-1052-5</t>
  </si>
  <si>
    <t>WOS:000185536900015</t>
  </si>
  <si>
    <t>Chapman, PM; Riddle, MJ</t>
  </si>
  <si>
    <t>Missing and needed: polar marine ecotoxicology</t>
  </si>
  <si>
    <t>CONTAMINANTS; SENSITIVITY; WALKERI</t>
  </si>
  <si>
    <t>EVS Environm Consultants, N Vancouver, BC V7P 2R4, Canada; Australian Antarctic Div, Kingston, Tas, Australia</t>
  </si>
  <si>
    <t>EVS Environm Consultants, 195 Pemberton Ave, N Vancouver, BC V7P 2R4, Canada.</t>
  </si>
  <si>
    <t>pchapman@attglobal.net</t>
  </si>
  <si>
    <t>10.1016/S0025-326X(03)00252-2</t>
  </si>
  <si>
    <t>715MC</t>
  </si>
  <si>
    <t>WOS:000184975300001</t>
  </si>
  <si>
    <t>[Anonymous]</t>
  </si>
  <si>
    <t>Antarctic research vessel heads north to map Arctic waters</t>
  </si>
  <si>
    <t>News Item</t>
  </si>
  <si>
    <t>WOS:000184975300007</t>
  </si>
  <si>
    <t>Lorenzetti, S; Lin, YT; Wang, DD; Eugster, O</t>
  </si>
  <si>
    <t>Noble gases and mineralogy of meteorites from China and the Grove Mountains, Antarctica: A 0.05 Ma cosmic ray exposure age of GRV 98004</t>
  </si>
  <si>
    <t>NEAR-EARTH ASTEROIDS; ORDINARY CHONDRITES; FARMINGTON METEORITE; SPECTRAL PROPERTIES; PARENT BODIES; HISTORY; OBJECTS; CLASSIFICATION; SPECTROSCOPY; ORIGIN</t>
  </si>
  <si>
    <t>We determined the mineralogical and chemical characteristics and the He, Ne, and Ar isotopic abundances of 2 meteorites that fell in China and of 2 meteorites that were recovered by the 15th Chinese Antarctic Research Expedition. Guangmingshan (H5), Zhuanghe (H5), and Grove Mountain (GRV) 98002 (L5) yield cosmic ray exposure (CRE) ages of 68.7 +/- 10.0 Ma, 3.8 +/- 0.6 Ma, and 17.0 +/- 2.5 Ma, respectively. These ages are within the range typically observed for the respective meteorite types. GRV 98004 (H5) had an extremely short parent body-Earth transfer time of 0.052 +/- 0.008 Ma. Its petrography and mineral chemistry are indistinguishable from other typical H5 chondrites. Only 3 other meteorites exist with similarly low CRE ages: Farmington (L5), Galim (LL6), and ALH 82100 (CM2). We show that several asteroids in Earth-crossing orbits, or in the main asteroid belt with orbits close to an ejection resonance, are spectrally matching candidates and may represent immediate precursor bodies of meteorites with CRE ages less than or equal to0.1 Ma.</t>
  </si>
  <si>
    <t>Univ Bern, Inst Phys, CH-3012 Bern, Switzerland; Chinese Acad Sci, Guangzhou Inst Geochem, Guangzhou 510640, Peoples R China</t>
  </si>
  <si>
    <t>University of Bern; Chinese Academy of Sciences; Guangzhou Institute of Geochemistry, CAS</t>
  </si>
  <si>
    <t>Eugster, O (corresponding author), Univ Bern, Inst Phys, Sidlerstr 5, CH-3012 Bern, Switzerland.</t>
  </si>
  <si>
    <t>eugster@phim.unibe.ch</t>
  </si>
  <si>
    <t>Lorenzetti, Silvio Rene/B-1188-2009; lin, yt/IQT-6771-2023; Lin, Yangting/A-8845-2015</t>
  </si>
  <si>
    <t>Lorenzetti, Silvio Rene/0000-0002-8339-8960;</t>
  </si>
  <si>
    <t>WILEY-BLACKWELL</t>
  </si>
  <si>
    <t>COMMERCE PLACE, 350 MAIN ST, MALDEN 02148, MA USA</t>
  </si>
  <si>
    <t>10.1111/j.1945-5100.2003.tb00310.x</t>
  </si>
  <si>
    <t>744VD</t>
  </si>
  <si>
    <t>WOS:000186652800008</t>
  </si>
  <si>
    <t>Avery, LM; Smith, RIL; West, HM</t>
  </si>
  <si>
    <t>Response of rhizosphere microbial communities associated with Antarctic hairgrass (Deschampsia antarctica) to UV radiation</t>
  </si>
  <si>
    <t>ULTRAVIOLET-B RADIATION; LITTER QUALITY; DECOMPOSITION</t>
  </si>
  <si>
    <t>The response of rhizosphere microbial communities associated with natural populations of Deschampsia antarctica growing on Leonie Island (67degrees36'S, 68degrees21'W, Antarctic Peninsula) to UV radiation was investigated. UV radiation was controlled in the field using Perspex VA screens (UV-B opaque) which transmit little radiation below 380 nm but allow penetration of approximately 92% of radiation above 400 nm, and Perspex OXO2 screens (UV-B transparent) which transmit approximately 70% of radiation at 280 nm, rising to 90% at 300 nm and above. Reducing ambient UV radiation altered the phenotypic profile of the rhizosphere microbial community. This alteration was expressed as enhanced carbohydrate and carboxylic acid utilisation by the rhizosphere micro-organisms. It is hypothesised that ambient levels of UV radiation indirectly affect rhizosphere micro-organisms by influencing the quality or quantity of root exudates.</t>
  </si>
  <si>
    <t>Univ Nottingham, Sch Life &amp; Environm Sci, Nottingham NG7 2RD, England; British Antarctic Survey, NERC, Cambridge CB3 0ET, England</t>
  </si>
  <si>
    <t>University of Nottingham; UK Research &amp; Innovation (UKRI); Natural Environment Research Council (NERC); NERC British Antarctic Survey</t>
  </si>
  <si>
    <t>Univ Nottingham, Sch Life &amp; Environm Sci, Nottingham NG7 2RD, England.</t>
  </si>
  <si>
    <t>helen.west@nottingham.ac.uk</t>
  </si>
  <si>
    <t>Avery, Lisa/J-8038-2019</t>
  </si>
  <si>
    <t>Avery, Lisa/0000-0003-1701-214X</t>
  </si>
  <si>
    <t>10.1007/s00300-003-0515-y</t>
  </si>
  <si>
    <t>704EP</t>
  </si>
  <si>
    <t>WOS:000184325800005</t>
  </si>
  <si>
    <t>Hahn, S; Peter, HU</t>
  </si>
  <si>
    <t>Feeding territoriality and the reproductive consequences in brown skuas Catharacta antarctica lonnbergi</t>
  </si>
  <si>
    <t>SOUTH POLAR SKUAS; GREAT SKUAS; BREEDING SUCCESS; ARCTIC SKUAS; FOOD AVAILABILITY; PREDATION; ISLAND; BIRDS; MACCORMICKI; ALBATROSSES</t>
  </si>
  <si>
    <t>In the maritime Antarctic, brown skuas (Catharacta antarctica lonnbergi) show two foraging strategies: some pairs occupy feeding territories in penguin colonies, while others can only feed in unoccupied areas of a penguin colony without defending a feeding territory. One-third of the studied breeding skua population in the South Shetlands occupied territories of varying size (48 to &gt;3,000 penguin nests) and monopolised 93% of all penguin nests in sub-colonies. Skuas without feeding territories foraged in only 7% of penguin sub-colonies and in part of the main colony. Females owning feeding territories were larger in body size than females without feeding territories; no differences in size were found in males. Territory holders permanently controlled their resources but defence power diminished towards the end of the reproductive season. Territory ownership guaranteed sufficient food supply and led to a 5.5 days earlier egg-laying and chick-hatching. Short distances between nest and foraging site allowed territorial pairs a higher nest-attendance rate such that their chicks survived better (71%) than chicks from skua pairs without feeding territories (45%). Due to lower hatching success in territorial pairs, no difference in breeding success of pairs with and without feeding territories was found in 3 years. We conclude that skuas owning feeding territories in penguin colonies benefit from the predictable and stable food resource by an earlier termination of the annual breeding cycle and higher offspring survivorship.</t>
  </si>
  <si>
    <t>Univ Jena, Inst Ecol, D-07743 Jena, Germany</t>
  </si>
  <si>
    <t>Friedrich Schiller University of Jena</t>
  </si>
  <si>
    <t>Hahn, S (corresponding author), Univ Jena, Inst Ecol, Dornburger Str 159, D-07743 Jena, Germany.</t>
  </si>
  <si>
    <t>10.1007/s00300-003-0522-z</t>
  </si>
  <si>
    <t>WOS:000184325800009</t>
  </si>
  <si>
    <t>Young, K; Seale, RB; Olsson, K; Aislabie, J; Cook, GM</t>
  </si>
  <si>
    <t>Amino acid transport by Sphingomonas sp strain Ant 17 isolated from oil-contaminated Antarctic soil</t>
  </si>
  <si>
    <t>ESCHERICHIA-COLI K-12; SERINE; SYSTEM; ENVIRONMENTS; BACTERIA; CULTURE; RANGE</t>
  </si>
  <si>
    <t>The Antarctic bacterial isolate Sphingomonas sp. strain Ant 17 utilized a wide range of L-isomer amino acids as the sole carbon and energy source for growth. The pH and temperature optima for growth on amino acids were pH 7.0 and 15degreesC, respectively. Growth on serine and tryptophan was inhibited by uncouplers and inhibitors of oxidative phosphorylation, but not by monensin, a Na+/H+ antiporter, suggesting that sodium gradients were not specifically required for growth on these amino acids. Serine transport was via a high-affinity (apparent K-m of 8 muM) permease specific for both the L- and D-isomer. Tryptophan transport exhibited biphasic kinetics with both high-affinity (apparent K-m of 2.5 muM) and low-affinity (non-saturable) uptake systems detected. The high-affinity system was specific for L-tryptophan, L-tyrosine, and L-phenylalanine whereas the low-affinity permease was specific for L-tryptophan and L-phenylalanine, but not L-tyrosine. Neither orthovanadate nor sodium arsenate, inhibitors of ATP-dependent permeases, had any significant inhibitory effect on the rate of serine and tryptophan transport. The protonophore carbonyl cyanide m-chlorophenylhydrazone completely abolished serine and tryptophan transport; maximum rates of solute uptake were observed at acidic pH values (pH 4.0-5.0) for both amino acids. These results suggest that an electrochemical potential of protons is the driving force for serine and tryptophan transport by Ant 17. These high-affinity proton-driven permeases function over environmental extremes (e.g. broad temperature and pH range) that are likely to prevail in the natural habitat of this bacterium.</t>
  </si>
  <si>
    <t>Univ Otago, Dept Microbiol, Otago Sch Med Sci, Dunedin, New Zealand; Landcare Res, Hamilton, New Zealand</t>
  </si>
  <si>
    <t>University of Otago; Landcare Research - New Zealand</t>
  </si>
  <si>
    <t>Cook, GM (corresponding author), Univ Otago, Dept Microbiol, Otago Sch Med Sci, POB 56, Dunedin, New Zealand.</t>
  </si>
  <si>
    <t>Cook, Gregory M/E-5665-2011</t>
  </si>
  <si>
    <t>10.1007/s00300-003-0528-6</t>
  </si>
  <si>
    <t>WOS:000184325800010</t>
  </si>
  <si>
    <t>Zhu, RB; Sun, LG; Liu, XD</t>
  </si>
  <si>
    <t>Atmospheric nitrous oxide observations above the oceanic surface during CHINARE-18</t>
  </si>
  <si>
    <t>PROGRESS IN NATURAL SCIENCE</t>
  </si>
  <si>
    <t>Antarctica; the Pacific Ocean; nitrous oxide; vacuum vial</t>
  </si>
  <si>
    <t>N2O; PACIFIC</t>
  </si>
  <si>
    <t>The gas samples in the marine boundary layer were collected from the track for research ship Xuelong during the 18th Chinese Antarctic Research Expedition (CHINARE-18) and nitrous oxide measurements were made by HP5890ECD-GC in the laboratory. The results represent the shipboard N2O data set obtained within the lower troposphere with the average concentration of (313.5 +/- 2.6) nL.L-1 from 31degreesN to 69degreesS. The results showed a latitudinally weighted, mean interhemispheric difference of 0.61 nL.L-1. The latitudinal distribution of atmospheric N2O Concentration was analyzed from northern midlatitudes to Southern Ocean around the Antarctic continent and it was showed that N2O concentration in the current confluences was higher than that in other oceanic areas. This indicated that strong N2O emissions occurred there. The longitudinal distribution of N2O concentrations in the Southern Ocean also showed similar situation. According to the interhemispheric difference of atmospheric N2O concentrations and the two-box model, we estimated that 2/5 of the global flux of N2O into the atmosphere is derived from the sources in the southern hemisphere.</t>
  </si>
  <si>
    <t>Univ Sci &amp; Technol China, Inst Polar Environm, Anhua 230026, Peoples R China</t>
  </si>
  <si>
    <t>Chinese Academy of Sciences; University of Science &amp; Technology of China, CAS</t>
  </si>
  <si>
    <t>Sun, LG (corresponding author), Univ Sci &amp; Technol China, Inst Polar Environm, Anhua 230026, Peoples R China.</t>
  </si>
  <si>
    <t>1002-0071</t>
  </si>
  <si>
    <t>PROG NAT SCI</t>
  </si>
  <si>
    <t>Prog. Nat. Sci.</t>
  </si>
  <si>
    <t>10.1080/10020070312331344130</t>
  </si>
  <si>
    <t>Materials Science, Multidisciplinary; Multidisciplinary Sciences</t>
  </si>
  <si>
    <t>Materials Science; Science &amp; Technology - Other Topics</t>
  </si>
  <si>
    <t>708GJ</t>
  </si>
  <si>
    <t>WOS:000184558600010</t>
  </si>
  <si>
    <t>Edwards, HGM; Newton, EM; Dickensheets, DL; Wynn-Williams, DD</t>
  </si>
  <si>
    <t>Raman spectroscopic detection of biomolecular markers from Antarctic materials: evaluation for putative Martian habitats</t>
  </si>
  <si>
    <t>SPECTROCHIMICA ACTA PART A-MOLECULAR AND BIOMOLECULAR SPECTROSCOPY</t>
  </si>
  <si>
    <t>5th International Conference on Raman Spectroscopy Applied to Earth Science (GEORAMAN 2002)</t>
  </si>
  <si>
    <t>JUN 12-15, 2002</t>
  </si>
  <si>
    <t>CHARLES UNIV, PRAGUE, CZECH REPUBLIC</t>
  </si>
  <si>
    <t>CHARLES UNIV</t>
  </si>
  <si>
    <t>biomolecular markers; Raman spectroscopy; variable wavelength; antarctic lichens; Martian habitats</t>
  </si>
  <si>
    <t>IN-SITU; DEGRADATION; PALEOLAKE; METEORITE; SEARCH; MARS; LIFE; SOIL</t>
  </si>
  <si>
    <t>The vital UV-protective and photosynthetic pigments of cyanobacteria and lichens (microbial symbioses) that dominate primary production in Antarctic desert ecosystems auto-fluoresce at short-wavelengths. A long wavelength (1064 nm) near infra-red laser has been used for non-intrusive Raman spectroscopic analysis of their ecologically significant compounds. There is now much interest in the construction of portable Raman systems for the analysis of cyanobacterial and lichen communities in the field; to this extent, Raman spectra obtained with laboratory-based systems operating at wavelengths of 852 and 1064 nm have been evaluated for potential fieldwork applications of miniaturised units. Selected test specimens of the cyanobacterial Nostoc commune, epilithic lichens Acarospora chlorophana, Xanthoria elegans and Caloplaca saxicola and the endolithic Chroococcidiopsis from Antarctic sites have been examined in the present study. Although some organisms gave useable Raman spectra with short-wavelength lasers, 1064 nm was the only excitation that was consistently excellent for all organisms. We conclude that a 1064 nm Raman spectrometer, miniaturised using an InGaAs detector, is the optimal instrument for in situ studies of pigmented communities at the limits of life on Earth. This has practical potential for the quest for biomolecules residual from any former surface or subsurface life on Mars. (C) 2003 Elsevier B.V. All rights reserved.</t>
  </si>
  <si>
    <t>Univ Bradford, Dept Chem &amp; Forens Sci, Bradford BD7 1DP, W Yorkshire, England; Montana State Univ, Dept Elect &amp; Comp Engn, Bozeman, MT 59717 USA; British Antarctic Survey, Cambridge CB3 0ET, England</t>
  </si>
  <si>
    <t>University of Bradford; Montana State University System; Montana State University Bozeman; UK Research &amp; Innovation (UKRI); Natural Environment Research Council (NERC); NERC British Antarctic Survey</t>
  </si>
  <si>
    <t>Univ Bradford, Dept Chem &amp; Forens Sci, Bradford BD7 1DP, W Yorkshire, England.</t>
  </si>
  <si>
    <t>h.g.m.edwards@bradford.ac.uk</t>
  </si>
  <si>
    <t>1386-1425</t>
  </si>
  <si>
    <t>SPECTROCHIM ACTA A</t>
  </si>
  <si>
    <t>Spectroc. Acta Pt. A-Molec. Biomolec. Spectr.</t>
  </si>
  <si>
    <t>10.1016/S1386-1425(03)00071-4</t>
  </si>
  <si>
    <t>Spectroscopy</t>
  </si>
  <si>
    <t>716PT</t>
  </si>
  <si>
    <t>WOS:000185038100011</t>
  </si>
  <si>
    <t>Edwards, HGM; Newton, EM; Wynn-Williams, DD; Lewis-Smith, RI</t>
  </si>
  <si>
    <t>Non-destructive analysis of pigments and other organic compounds in lichens using Fourier-transform Raman spectroscopy: a study of Antarctic epilithic lichens</t>
  </si>
  <si>
    <t>FT-Raman; spectroscopy; pigments; epilithic lichens; Antarctic; environmental stress</t>
  </si>
  <si>
    <t>Lichens in Antarctic habitats are subjected to environmental extremes, including UVB radiation, desiccation and low temperatures. as well as to rapid fluctuations in these. Lichens synthesise a variety of chemical compounds in response to their environmental conditions which contribute towards their colour, and which act as protectants against physiological stresses. The fluorescence generated by the lichens at 532 nm can be used in epifluorescence microscopy to identify their presence on substrata but this can severely affect the Raman spectra using visible excitation. The advantage of the near infrared excitation used in FT-Raman spectroscopy in minimising fluorescence emission facilitates the molecular characterisation of lichen encrustations without having to remove the thallus from its substrate or remove or otherwise damage any part of the thallus. Spectroscopic biomarkers are proposed which allow the lichens to be characterised by the identification of characteristic lichen substances; the use of these biomarkers for the preliminary taxonomic identification of Antarctic lichens is examined and some potential pitfalls are described. (C) 2003 Elsevier B.V. All rights reserved.</t>
  </si>
  <si>
    <t>Univ Bradford, Dept Chem &amp; Forens Sci, Bradford BD7 1DP, W Yorkshire, England; British Antarctic Survey, Cambridge CB3 0ET, England</t>
  </si>
  <si>
    <t>University of Bradford; UK Research &amp; Innovation (UKRI); Natural Environment Research Council (NERC); NERC British Antarctic Survey</t>
  </si>
  <si>
    <t>Edwards, HGM (corresponding author), Univ Bradford, Dept Chem &amp; Forens Sci, Richmond Rd, Bradford BD7 1DP, W Yorkshire, England.</t>
  </si>
  <si>
    <t>10.1016/S1386-1425(03)00073-8</t>
  </si>
  <si>
    <t>WOS:000185038100013</t>
  </si>
  <si>
    <t>Gardner, DON; Al-Halabi, A; Kroes, GJ</t>
  </si>
  <si>
    <t>Predictions on the effect of initial molecular orientation and rotation on penetration of the (0001) face of hexagonal ice by HC1</t>
  </si>
  <si>
    <t>CHEMICAL PHYSICS LETTERS</t>
  </si>
  <si>
    <t>HYPERTHERMAL ENERGIES; DYNAMICS SIMULATION; HYDROGEN-CHLORIDE; QUANTUM-DYNAMICS; OZONE DEPLETION; ANTARCTIC OZONE; METAL-SURFACES; STICKING; WATER; ADSORPTION</t>
  </si>
  <si>
    <t>Molecular dynamics calculations have been performed for the penetration of the basal plane (0001) face of ice Ih by HCl. at a surface temperature of 150 K and for normal incidence energies, E-i = 1.0-2.0 eV. For initially rotationless (j = 0) HCl, we predict a strong dependence of the penetration on the initial orientation of HCl, penetration being 60% more likely for 'Cl-down' HCl than for 'H-down' HCl at E-i = 2.0 eV. Though in general, the penetration probability is independent of the molecule's initial angular momentum j, penetration beyond the second bilayer (deep penetration) is suppressed by initial rotation. This suggests that the steering operative in deep penetration is inhibited by initial rotation. (C) 2003 Elsevier B.V. All rights reserved.</t>
  </si>
  <si>
    <t>Leiden Univ, Gorlaeus Labs, Leiden Inst Chem, NL-2300 RA Leiden, Netherlands</t>
  </si>
  <si>
    <t>Leiden University - Excl LUMC; Leiden University</t>
  </si>
  <si>
    <t>Kroes, GJ (corresponding author), Leiden Univ, Gorlaeus Labs, Leiden Inst Chem, POB 9502, NL-2300 RA Leiden, Netherlands.</t>
  </si>
  <si>
    <t>0009-2614</t>
  </si>
  <si>
    <t>CHEM PHYS LETT</t>
  </si>
  <si>
    <t>Chem. Phys. Lett.</t>
  </si>
  <si>
    <t>JUL 31</t>
  </si>
  <si>
    <t>5-6</t>
  </si>
  <si>
    <t>10.1016/S0009-2614(03)01037-6</t>
  </si>
  <si>
    <t>708KL</t>
  </si>
  <si>
    <t>WOS:000184565900006</t>
  </si>
  <si>
    <t>Manzini, E; Steil, B; Brühl, C; Giorgetta, MA; Krüger, K</t>
  </si>
  <si>
    <t>A new interactive chemistry-climate model:: 2.: Sensitivity of the middle atmosphere to ozone depletion and increase in greenhouse gases and implications for recent stratospheric cooling -: art. no. 4429</t>
  </si>
  <si>
    <t>chemistry-climate model; middle atmosphere dynamics; gravity waves; ozone depletion; global change; polar ozone</t>
  </si>
  <si>
    <t>DOPPLER-SPREAD PARAMETERIZATION; GENERAL-CIRCULATION MODEL; WAVE MOMENTUM DEPOSITION; TRENDS; LOSSES; TROPOSPHERE; SIMULATION; TRANSPORT; IMPACT; WATER</t>
  </si>
  <si>
    <t>[ 1] The sensitivity of the middle atmosphere circulation to ozone depletion and increase in greenhouse gases is assessed by performing multiyear simulations with a chemistry-climate model. Three simulations with fixed boundary conditions have been carried out: one simulation for the near-past ( 1960) and two simulations for the near-present ( 1990 and 2000) conditions, including changes in greenhouse gases, in total organic chlorine, and in average sea surface temperatures. Changes in ozone are simulated interactively by the coupled model. It is found that in the stratosphere, ozone decreases, and that in the Antarctic, the ozone hole develops in both the 1990 and the 2000 simulations but not in the 1960 simulation, as observed. The simulated temperature decreases in the stratosphere and mesosphere from the near past to the present, with the largest changes at the stratopause and at the South Pole in the lower stratosphere, in agreement with current knowledge of temperature trends. In the Arctic lower stratosphere, a cooling in March with respect to the 1960 simulation is found only for the 2000 simulation. Wave activity emerging from the troposphere is found to be comparable in the winters of the 1960 and 2000 simulations, suggesting that ozone depletion and greenhouse gases increase contribute to the 2000 - 1960 March cooling in the Arctic lower stratosphere. These results therefore provide support to the interpretation that the extreme low temperatures observed in March in the last decade can arise from radiative and chemical processes, although other factors cannot be ruled out. The comparison of the 1960 and 2000 simulations shows an increase in downwelling in the mesosphere at the time of cooling in the lower stratosphere ( in March in the Arctic; in October in the Antarctic). The mesospheric increase in downwelling can be explained as the response of the gravity waves to the stronger winds associated with the cooling in the lower stratosphere. Planetary waves appear to contribute to the downward shift of the increased downwelling, with a delay of about a month. The increase in dynamical heating associated with the increased downwelling may limit the cooling and the strengthening of the lower stratospheric polar vortex from above, facilitating ozone recovery and providing a negative dynamical feedback. In both the Arctic and Antarctic the cooling from ozone depletion is found to affect the area covered with polar stratospheric clouds in spring, which is substantially increased from the 1960 to the 2000 simulations. In turn, increased amounts of polar stratospheric clouds can facilitate further ozone depletion in the 2000 simulation.</t>
  </si>
  <si>
    <t>Max Planck Inst Meteorol, D-20146 Hamburg, Germany; Max Planck Inst Chem, D-55020 Mainz, Germany; Free Univ Berlin, Inst Meteorol, D-12165 Berlin, Germany</t>
  </si>
  <si>
    <t>Max Planck Society; Max Planck Society; Free University of Berlin</t>
  </si>
  <si>
    <t>Natl Inst Geophys &amp; Volcanol, Via Creti 12, I-40128 Bologna, Italy.</t>
  </si>
  <si>
    <t>manzini@bo.ingv.it; steil@mpch-mainz.mpg.de; chb@mpch-mainz.mpg.de; giorgetta@dkrz.de; krueger@strat01.met.fu-berlin.de</t>
  </si>
  <si>
    <t>Manzini, Elisa/H-5760-2011</t>
  </si>
  <si>
    <t>Giorgetta, Marco/0000-0002-4278-1963</t>
  </si>
  <si>
    <t>JUL 29</t>
  </si>
  <si>
    <t>D14</t>
  </si>
  <si>
    <t>10.1029/2002JD002977</t>
  </si>
  <si>
    <t>710WX</t>
  </si>
  <si>
    <t>WOS:000184706800007</t>
  </si>
  <si>
    <t>Muscari, G; de Zafra, RL; Smyshlyaev, S</t>
  </si>
  <si>
    <t>Evolution of the NOy-N2O correlation in the Antarctic stratosphere during 1993 and 1995 -: art. no. 4428</t>
  </si>
  <si>
    <t>polar NOy (reactive nitrogen); NOy-N2O correlations; denitrification</t>
  </si>
  <si>
    <t>WAVE SPECTROSCOPIC MEASUREMENTS; TOTAL REACTIVE NITROGEN; POLAR VORTEX AIR; MILLIMETER-WAVE; SOUTH-POLE; 2-DIMENSIONAL MODEL; MIDDLE ATMOSPHERE; ODD NITROGEN; NITRIC-OXIDE; OZONE</t>
  </si>
  <si>
    <t>[1] The sources and sinks of stratospheric reactive nitrogen (NOy) in the Antarctic are known only qualitatively, because of the very few measurements of NOy available in this region. As a result, the effects of stratospheric NOy short- and long- term changes on the stratospheric concentration of ozone, water vapor, and other climate-forcing agents are still uncertain. To better understand the annual cycle of polar stratospheric NOy, we estimate its concentration in the Antarctic stratosphere during part of 1993 and throughout 1995. These estimates are obtained at seven potential temperature levels, extending from similar to 18 to 30 km of altitude, and are associated with ground-based measurements of another tracer, N2O, in order to produce NOy-N2O correlation curves that can provide insights on nitrogen sources and sinks. To estimate NOy mixing ratios, we use ground-based and satellite measurements of major NOy constituents, connected by using air parcel trajectories and supplemented by model calculations of minor contributing species for which no suitable measurements exist. All the available NOy-N2O correlation points are averaged over three representative seasonal time periods in 1993 and six periods in 1995. Results show very similar correlation curves during the late summer and the fall of 1995, and again during the early spring 1993 compared with the early and late winter of 1995, although there are large seasonal changes due to transport and to condensation of NOy onto polar stratospheric clouds. We calculate a loss from the latter process of DeltaN = (6.3 +/- 2.6) x 10 7 kg of stratospheric nitrogen in the southern polar vortex during 1995. We also compare our correlation curves with those obtained in the Antarctic stratosphere during the Atmospheric Trace Molecule Spectroscopy mission ATMOS/ATLAS-3 in November 1994, finding important similarities but also critical differences that suggest that extra-vortex air is generally not an adequate representation of prewinter inner vortex conditions. Calculations of NOy winter removal in the Antarctic stratosphere which have used extra-vortex measurements as a surrogate for prewinter conditions may thus have underestimated true NOy removal. Our prewinter NOy estimates in the vortex core match values obtained by atmospheric models that incorporate upper atmospheric sources of NOy, supporting the belief that such sources have a significant effect on polar stratospheric NOy.</t>
  </si>
  <si>
    <t>SUNY Stony Brook, Inst Terr &amp; Planetary Atmospheres, Stony Brook, NY 11794 USA; Russian State Hydrometeorol Univ, St Petersburg, Russia</t>
  </si>
  <si>
    <t>State University of New York (SUNY) System; State University of New York (SUNY) Stony Brook; Russian State Hydrometeorological University</t>
  </si>
  <si>
    <t>Univ Roma La Sapienza, Dipartimento Fis G24, Piazzale Aldo Moro 5, I-00185 Rome, Italy.</t>
  </si>
  <si>
    <t>muscari@g24ux.phys.uniroma1.it; robert.dezafra@sunsyb.edu; smyshl@meteo.rshmi.spb.edu</t>
  </si>
  <si>
    <t>Smyshlyaev, Sergei P./F-1198-2014</t>
  </si>
  <si>
    <t>Muscari, Giovanni/0000-0001-6326-2612</t>
  </si>
  <si>
    <t>10.1029/2002JD002871</t>
  </si>
  <si>
    <t>WOS:000184706800005</t>
  </si>
  <si>
    <t>Díaz-Marrero, AR; Brito, I; Dorta, E; Cueto, M; San-Martín, A; Darias, J</t>
  </si>
  <si>
    <t>Caminatal, an aldehyde sesterterpene with a novel carbon skeleton from the Antarctic sponge Suberites caminatus</t>
  </si>
  <si>
    <t>TETRAHEDRON LETTERS</t>
  </si>
  <si>
    <t>KIRKPATRICKIA-VARIALOSA; ALKALOIDS; METABOLITES; PIGMENT</t>
  </si>
  <si>
    <t>A new sesterterpene, caminatal 1, containing a bicyclic terpenoid moiety with an aldehyde appendage in combination with an isolated isoprenic aromatic ring leading to a novel carbon skeleton has been obtained from the Antarctic sponge Suberites caminatus. Its structure and relative stereochemistry were established by spectroscopic evidence and biogenetic considerations. (C) 2003 Elsevier Ltd. All rights reserved.</t>
  </si>
  <si>
    <t>CSIC, Inst Prod Nat &amp; Agrobiol, San Cristobal la Laguna 38206, Tenerife, Spain; Univ Chile, Fac Ciencias, Dept Quim, Santiago, Chile</t>
  </si>
  <si>
    <t>Consejo Superior de Investigaciones Cientificas (CSIC); CSIC - Instituto de Productos Naturales y Agrobiologia (IPNA); Universidad de Chile</t>
  </si>
  <si>
    <t>CSIC, Inst Prod Nat &amp; Agrobiol, Avda Astrofis F Sanchez,3 Apdo, San Cristobal la Laguna 38206, Tenerife, Spain.</t>
  </si>
  <si>
    <t>jdarias@ipria.csic.es</t>
  </si>
  <si>
    <t>Marrero, Ana R. Díaz/L-2899-2014; Cueto, Mercedes/L-3185-2014</t>
  </si>
  <si>
    <t>Marrero, Ana R. Díaz/0000-0002-8886-7519; Cueto, Mercedes/0000-0002-9112-6877</t>
  </si>
  <si>
    <t>0040-4039</t>
  </si>
  <si>
    <t>TETRAHEDRON LETT</t>
  </si>
  <si>
    <t>Tetrahedron Lett.</t>
  </si>
  <si>
    <t>JUL 28</t>
  </si>
  <si>
    <t>10.1016/S0040-4039(03)01426-6</t>
  </si>
  <si>
    <t>Chemistry, Organic</t>
  </si>
  <si>
    <t>Chemistry</t>
  </si>
  <si>
    <t>702JK</t>
  </si>
  <si>
    <t>WOS:000184220600041</t>
  </si>
  <si>
    <t>Ramirez, E; Hoffmann, G; Taupin, JD; Francou, B; Ribstein, P; Caillon, N; Ferron, FA; Landais, A; Petit, JR; Pouyaud, B; Schotterer, U; Simoes, JC; Stievenard, M</t>
  </si>
  <si>
    <t>A new Andean deep ice core from Nevado Illimani (6350 m), Bolivia</t>
  </si>
  <si>
    <t>glaciology; ice cores; tropical climate during the last glacial; water isotopes in the Andes</t>
  </si>
  <si>
    <t>TROPICAL SOUTH-AMERICA; LAST GLACIAL MAXIMUM; MODELING DELTA-O-18; ANTARCTIC ICE; PRECIPITATION; CLIMATE; RECORDS; WATER; HISTORY; ISOTOPES</t>
  </si>
  <si>
    <t>A new ice core record from the Nevado Illimani (16degreesS), Bolivia, covers approximately the last 18 000 years BP. A comparison with two published ice records, from Sajama (18degreesS), Bolivia [Thompson et al., Science 282 (1998) 1858-1864] and Huascaran (9degreesS), Peru [Thompson et al., Science 269 (1996) 46-50], documents a regionally coherent transition from glacial to modern climate conditions in South America north of 20degreesS. The strong resemblance between the Illimani and Huascaran water isotope records and their differences from the Sajama record, in particular during the period from 9000 years BP to 14 000 years BP, suggest that local water recycling or local circulation changes played a major role for Sajama. We interpret the common Illimani/Huascaran water isotope history in terms of a common change from wetter/cooler conditions during glacial times to drier/warmer conditions in the Early Holocene. (C) 2003 Elsevier Science B.V. All rights reserved.</t>
  </si>
  <si>
    <t>LSCE, Gif Sur Yvette, France; IRD, Paris, France; Univ Fed Rio Grande do Sul, Lab Pesquisas Antart &amp; Glaciol, Porto Alegre, RS, Brazil; Univ Grenoble 1, LGGE, Grenoble, France; Univ Bern, Bern, Switzerland</t>
  </si>
  <si>
    <t>CEA; Centre National de la Recherche Scientifique (CNRS); Universite Paris Saclay; Institut de Recherche pour le Developpement (IRD); Universidade Federal do Rio Grande do Sul; Communaute Universite Grenoble Alpes; Universite Grenoble Alpes (UGA); University of Bern</t>
  </si>
  <si>
    <t>LSCE, Gif Sur Yvette, France.</t>
  </si>
  <si>
    <t>hoffmann@lsce.saclay.cea.fr</t>
  </si>
  <si>
    <t>, taupin/J-9292-2016; Simoes, Jefferson Cardia/D-7232-2013; Caillon, Nicolas/B-7127-2019</t>
  </si>
  <si>
    <t>Simoes, Jefferson Cardia/0000-0001-5555-3401; LANDAIS, Amaelle/0000-0002-5620-5465; Caillon, Nicolas/0000-0002-6318-6194; RIBSTEIN, Pierre/0000-0002-1710-8267</t>
  </si>
  <si>
    <t>JUL 25</t>
  </si>
  <si>
    <t>10.1016/S0012-821X(03)00240-1</t>
  </si>
  <si>
    <t>705ET</t>
  </si>
  <si>
    <t>WOS:000184383300007</t>
  </si>
  <si>
    <t>Powell, SM; Bowman, JP; Snape, I; Stark, JS</t>
  </si>
  <si>
    <t>Microbial community variation in pristine and polluted nearshore Antarctic sediments</t>
  </si>
  <si>
    <t>FEMS MICROBIOLOGY ECOLOGY</t>
  </si>
  <si>
    <t>denaturing gradient gel electrophoresis; Antarctic microbial ecology; impacted sediment</t>
  </si>
  <si>
    <t>GRADIENT GEL-ELECTROPHORESIS; 16S RIBOSOMAL-RNA; BACTERIAL DIVERSITY; MARINE-SEDIMENTS; PCR; BACTERIOPLANKTON; GENES; HYBRIDIZATION; ASSEMBLAGES; PRIMERS</t>
  </si>
  <si>
    <t>Two molecular methods were used to investigate the microbial population of Antarctic marine sediments to determine the effects of petroleum and heavy metal pollution. Sediment samples were collected in a nested design from impacted and non-impacted locations. A detailed description of the diversity of the microbial population in two samples was obtained using 16S ribosomal DNA clone libraries constructed from an impacted and a non-impacted location. The clone libraries were very similar with the exception of two sequence clusters containing clones from only the impacted location. All samples were analysed by denaturing gradient gel electrophoresis. The band patterns generated were transformed into a presence/absence matrix and a multivariate approach was used to test for differences in the locations. Statistically significant differences were observed both between and within locations. Impacted locations showed a greater variability within themselves than the control locations. Correlations between the community patterns and environmental variables suggested that pollution was one of a number of factors affecting the microbial community composition. (C) 2003 Federation of European Microbiological Societies. Published by Elsevier Science B.V. All rights reserved.</t>
  </si>
  <si>
    <t>Univ Tasmania, Sch Agr Sci, Hobart, Tas 7001, Australia; Australian Antarctic Div, Human Impacts Res Programme, Kingston, Tas, Australia</t>
  </si>
  <si>
    <t>University of Tasmania; Australian Antarctic Division</t>
  </si>
  <si>
    <t>Powell, SM (corresponding author), Univ Tasmania, Sch Agr Sci, Private Bag 54, Hobart, Tas 7001, Australia.</t>
  </si>
  <si>
    <t>Bowman, John P./ABF-5108-2020; Ross, Donald J/F-7607-2012; Bowman, John P/C-2414-2014; Powell, Shane M/C-2391-2014; Stark, Jonathan/ABF-4025-2020</t>
  </si>
  <si>
    <t>Bowman, John P./0000-0002-4528-9333; Bowman, John P/0000-0002-4528-9333; Stark, Jonathan/0000-0002-4268-8072; Powell, Shane/0000-0001-5082-1630</t>
  </si>
  <si>
    <t>0168-6496</t>
  </si>
  <si>
    <t>FEMS MICROBIOL ECOL</t>
  </si>
  <si>
    <t>FEMS Microbiol. Ecol.</t>
  </si>
  <si>
    <t>10.1016/S0168-6496(03)00135-1</t>
  </si>
  <si>
    <t>705QA</t>
  </si>
  <si>
    <t>WOS:000184404700006</t>
  </si>
  <si>
    <t>Gersonde, R; Abelmann, A; Brathauer, U; Becquey, S; Bianchi, C; Cortese, G; Grobe, H; Kuhn, G; Niebler, HS; Segl, M; Sieger, R; Zielinski, U; Fütterer, DK</t>
  </si>
  <si>
    <t>Last glacial sea surface temperatures and sea-ice extent in the Southern Ocean (Atlantic-Indian sector):: A multiproxy approach -: art. no. 1061</t>
  </si>
  <si>
    <t>Last Glacial Maximum; GLAMAP; EPILOG time slice; Southern Ocean; paleo SST; paleo sea-ice; siliceous microfossil</t>
  </si>
  <si>
    <t>ATMOSPHERIC CARBON-DIOXIDE; MODERN ANALOG TECHNIQUE; LATE PLEISTOCENE; BIOGENIC SILICA; EASTERN ATLANTIC; AGULHAS CURRENT; MAXIMUM; SEDIMENTS; RECONSTRUCTION; CIRCULATION</t>
  </si>
  <si>
    <t>[1] On the basis of the quantitative study of diatom, radiolarian, and planktic foraminiferal assemblages, we estimated summer sea surface temperature (SSST) and sea-ice extent at 50 sediment core localities in the Atlantic and western Indian sector of the Southern Ocean to reconstruct the last glacial environment at the GLAMAP (18 to 15 ka, equal to 21,500 to 18,000 calendar (cal) years BP) and EPILOG (19.5 to 16.0 ka, equal to 23,000 to 19,000 cal years BP) time slices. Stratigraphic identification of the time slices was accomplished by a combination of AMS C-14 measurements, benthic isotope, and siliceous microfossil abundance records. While the SSST estimates reveal greater surface water cooling than reconstructed by CLIMAP [1981], reaching a maximum in the area of the present Subantarctic Zone, the sea-ice reconstruction indicates that CLIMAP overestimated the expansion of the Antarctic sea-ice field, especially for austral summer. During winter the sea-ice field was expanded by 60-70% compared to the present. Last glacial summer sea surface isotherms indicate a northward shift of the zonal bands of the Antarctic Circumpolar Current and a relative expansion of the cold water realm south of the Subantarctic Front by similar to5degrees in latitude. This coincides with a northward displacement of the zone of enhanced biogenic silica deposition and iceberg occurrence. As a result of northward expansion of Antarctic cold waters and a relatively small displacement of the Subtropical Front, thermal gradients were steepened during the last glacial in the area of the present Subtropical Front. The northward displacement of Antarctic cold waters and the related deflection of Southern Ocean waters along the eastern boundary of South America may have resulted in a weakened cold water route'' across the Drake Passage. In contrast, the transport of warm and salty surface water from the Indian into the Atlantic Ocean via the warm water route'' was not blocked allowing continuous but reduced import of heat into the South Atlantic.</t>
  </si>
  <si>
    <t>Alfred Wegener Inst Polar &amp; Marine Res, D-27568 Bremerhaven, Germany; Univ Bremen, Dept Geosci, D-28359 Bremen, Germany</t>
  </si>
  <si>
    <t>Helmholtz Association; Alfred Wegener Institute, Helmholtz Centre for Polar &amp; Marine Research; University of Bremen</t>
  </si>
  <si>
    <t>Alfred Wegener Inst Polar &amp; Marine Res, Columbusstr, D-27568 Bremerhaven, Germany.</t>
  </si>
  <si>
    <t>rgersonde@awi-bremerhaven.de; aabelmann@awi-bremerhaven.de; Uta.Brathauer@dfg.de; sbecquey@awi-bremerhaven.de; cbianchi@awi-bremerhaven.de; gcortese@awi-bremerhaven.de; hgrobe@awi-bremerhaven.de; gkuhn@awi-bremerhaven.de; HS.Niebler@web.de; segl@allgeo.uni-bremen.de; rsieger@awi-bremerhaven.de; ulrich.zielinski@web.de; dfuetterer@awi-bremerhaven.de</t>
  </si>
  <si>
    <t>Cortese, Giuseppe/C-8281-2011</t>
  </si>
  <si>
    <t>Cortese, Giuseppe/0000-0003-1780-3371; Grobe, Hannes/0000-0002-4133-2218; Abelmann, Andrea/0000-0001-9432-0002; Kuhn, Gerhard/0000-0001-6069-7485; Sieger, Rainer/0000-0002-9175-884X</t>
  </si>
  <si>
    <t>JUL 23</t>
  </si>
  <si>
    <t>10.1029/2002PA000809</t>
  </si>
  <si>
    <t>710UT</t>
  </si>
  <si>
    <t>WOS:000184701400001</t>
  </si>
  <si>
    <t>Jones, GOL; Berkey, FT; Fish, CS; Hocking, WK; Taylor, MJ</t>
  </si>
  <si>
    <t>Validation of imaging Doppler interferometer winds using meteor radar</t>
  </si>
  <si>
    <t>IDI; MF radar; mesopheric winds; meteor radar</t>
  </si>
  <si>
    <t>IDI RADAR; ANTARCTICA; SCATTER; HALLEY; CANADA; TIDES; MF</t>
  </si>
  <si>
    <t>[1] There has been some debate over the years concerning the accuracy of mesospheric wind observations made using the imaging Doppler interferometer (IDI) technique. The high potential and increasing use of IDI wind data in joint studies with spaced-antenna MF and meteor radar systems make it important to quantify the IDI results. This paper presents a novel comparison of wind measurements between a dynasonde implementation of IDI and winds derived from an all-sky meteor radar system, a widely-accepted standard for such measurements. Both radars were located at the USU Bear Lake Observatory and operated almost continuously for a four-month period. The winds and tides derived from IDI were found to closely match those measured by meteor radar, not only during the day but also at night, and at all overlapping heights from 80-95 km.</t>
  </si>
  <si>
    <t>British Antarctic Survey, NERC, Cambridge CB3 0ET, England; Utah State Univ, Space Dynam Lab, Logan, UT 84322 USA; Univ Western Ontario, Dept Phys &amp; Astron, London, ON N6A 3K7, Canada</t>
  </si>
  <si>
    <t>UK Research &amp; Innovation (UKRI); Natural Environment Research Council (NERC); NERC British Antarctic Survey; Utah System of Higher Education; Utah State University; Western University (University of Western Ontario)</t>
  </si>
  <si>
    <t>Jones, GOL (corresponding author), British Antarctic Survey, NERC, Madingley Rd, Cambridge CB3 0ET, England.</t>
  </si>
  <si>
    <t>Bell, Matthew/IQR-9709-2023</t>
  </si>
  <si>
    <t>JUL 22</t>
  </si>
  <si>
    <t>10.1029/2003GL017645</t>
  </si>
  <si>
    <t>709DM</t>
  </si>
  <si>
    <t>WOS:000184609500004</t>
  </si>
  <si>
    <t>Horne, RB; Thorne, RM; Meredith, NP; Anderson, RR</t>
  </si>
  <si>
    <t>Horne, R. B.; Thorne, R. M.; Meredith, N. P.; Anderson, R. R.</t>
  </si>
  <si>
    <t>Diffuse auroral electron scattering by electron cyclotron harmonic and whistler mode waves during an isolated substorm</t>
  </si>
  <si>
    <t>JOURNAL OF GEOPHYSICAL RESEARCH-SPACE PHYSICS</t>
  </si>
  <si>
    <t>diffuse aurora; ECH waves; substorm; pitch angle diffusion</t>
  </si>
  <si>
    <t>There are two main theories for the origin of diffuse auroral electron precipitation: precipitation by electrostatic ECH waves and precipitation by whistler mode waves. Here we analyze a case event where whistler mode hiss, chorus, and ECH waves are intensified during a weak substorm injection event to identify the source of particle precipitation. Examination of the particle data shows that there are three sources of free energy: a temperature anisotropy, a loss cone, and a pancake distribution. Instability analysis shows that the temperature anisotropy excites whistler mode hiss whereas both the temperature anisotropy and the pancake distribution contribute to the excitation of chorus. ECH waves are driven unstable by the loss cone. Wave propagation studies show that the path integrated gain of hiss and chorus is almost unaffected by changes in the depth of the loss cone, whereas ECH waves are very sensitive. Analysis of the changes in the resonant energy during propagation shows that the hiss resonates with electrons above a few keV while chorus resonates below a few hundred eV. As a result, neither hiss nor chorus are likely to cause significant electron precipitation from a few hundred eV to a few keV for this event. On the other hand, ECH waves resonate with electrons in the energy range between that for chorus and hiss. ECH waves can scatter electrons with pitch angles of up to 80 degrees into the loss cone. We conclude that ECH waves are responsible for the formation of the pancake distribution and are probably the main component of diffuse auroral precipitation during this event. We suggest that substorm-injected electrons are responsible for the intensification of hiss and ECH waves and that rapid scattering of electrons by ECH waves forms the pancake distribution which then excites chorus. We also suggest that rapid pitch angle scattering by ECH waves could be responsible for double frequency banded chorus emissions.</t>
  </si>
  <si>
    <t>[Horne, R. B.] British Antarctic Survey, NERC, Cambridge CB3 0ET, England; [Anderson, R. R.] Univ Iowa, Dept Phys &amp; Astron, Iowa City, IA 52242 USA; [Meredith, N. P.] Univ Coll London, Mullard Space Sci Lab, Dorking RH5 6NT, Surrey, England; [Thorne, R. M.] Univ Calif Los Angeles, Dept Atmospher Sci, Los Angeles, CA 90095 USA</t>
  </si>
  <si>
    <t>UK Research &amp; Innovation (UKRI); Natural Environment Research Council (NERC); NERC British Antarctic Survey; University of Iowa; University of London; University College London; University of California System; University of California Los Angeles</t>
  </si>
  <si>
    <t>Horne, RB (corresponding author), British Antarctic Survey, NERC, Madingley Rd, Cambridge CB3 0ET, England.</t>
  </si>
  <si>
    <t>r.horne@bas.ac.uk; rmt@atmos.ucla.edu; npm@mssl.ucl.ac.uk; roger-r-anderson@uiowa.edu</t>
  </si>
  <si>
    <t>UK Natural Environment Research Council; NSF [ATM 97-29021]; NASA [NAG5-11826]</t>
  </si>
  <si>
    <t>UK Natural Environment Research Council(UK Research &amp; Innovation (UKRI)Natural Environment Research Council (NERC)); NSF(National Science Foundation (NSF)); NASA(National Aeronautics &amp; Space Administration (NASA))</t>
  </si>
  <si>
    <t>We thank the World Data Center C1 for STP at the Rutherford Appleton Laboratory and the NSSDC Omniweb for providing the geomagnetic indices and solar wind parameters used in this paper. This work is supported by the UK Natural Environment Research Council and by NSF grant ATM 97-29021 and NASA grant NAG5-11826.</t>
  </si>
  <si>
    <t>2169-9380</t>
  </si>
  <si>
    <t>2169-9402</t>
  </si>
  <si>
    <t>J GEOPHYS RES-SPACE</t>
  </si>
  <si>
    <t>J. Geophys. Res-Space Phys.</t>
  </si>
  <si>
    <t>JUL 19</t>
  </si>
  <si>
    <t>A7</t>
  </si>
  <si>
    <t>10.1029/2002JA009736</t>
  </si>
  <si>
    <t>V93FP</t>
  </si>
  <si>
    <t>WOS:000206301300005</t>
  </si>
  <si>
    <t>Khazendar, A; Jenkins, A</t>
  </si>
  <si>
    <t>A model of marine ice formation within Antarctic ice shelf rifts</t>
  </si>
  <si>
    <t>marine ice; rifts; ice shelves; ice-ocean interaction</t>
  </si>
  <si>
    <t>TURBULENT BUOYANT CONVECTION; SAR INTERFEROMETRY; CONFINED REGION; DISINTEGRATION; DYNAMICS; BENEATH; OCEAN; FRONT; SEA</t>
  </si>
  <si>
    <t>Large rifts that open in Antarctic ice shelves are known to be filled by snow accumulations, ice shelf fragments, and sea ice. This work demonstrates how these rifts may also be filled from below, through their interaction with ocean water, by marine ice. The model presented here quantifies both the rate of marine ice accumulation at the top of the rift, which results from melt-driven convection at its sides, and the impact of this process on waters occupying the confined environment of the rift. The results show that such a system could fill the rift with tens of meters of marine ice. In the process the temperature and salinity of the ambient water in the rift evolve through two distinct phases. The first is characterized by rapid change that takes the properties of the ambient water to near-equilibrium values, followed by a second phase of much slower change. The melting rate at the lower part of the walls of the rift emerges as the principal factor influencing many aspects of model behavior. Testing the model against field observations from an Antarctic rift showed it to be robust and successful in reproducing the main observed features, including the presence of a thick layer of supercooled ocean water inside the rift.</t>
  </si>
  <si>
    <t>Univ Cambridge, Inst Theoret Phys, Dept Appl Math &amp; Theoret Phys, Cambridge CB3 9EW, England; British Antarctic Survey, NERC, Cambridge CB3 0ET, England</t>
  </si>
  <si>
    <t>Univ Cambridge, Inst Theoret Phys, Dept Appl Math &amp; Theoret Phys, Cambridge CB3 9EW, England.</t>
  </si>
  <si>
    <t>ala@esc.cam.ac.uk</t>
  </si>
  <si>
    <t>Jenkins, Adrian/IUN-2406-2023</t>
  </si>
  <si>
    <t>Jenkins, Adrian/0000-0002-9117-0616</t>
  </si>
  <si>
    <t>JUL 18</t>
  </si>
  <si>
    <t>C7</t>
  </si>
  <si>
    <t>10.1029/2002JC001673</t>
  </si>
  <si>
    <t>709BY</t>
  </si>
  <si>
    <t>WOS:000184605900003</t>
  </si>
  <si>
    <t>Makshtas, AP; Shoutilin, SV; Andreas, EL</t>
  </si>
  <si>
    <t>Possible dynamic and thermal causes for the recent decrease in sea ice in the Arctic Basin</t>
  </si>
  <si>
    <t>sea ice thinning; Arctic climate; energy exchange; ridges; leads; dynamic thermodynamic sea ice model</t>
  </si>
  <si>
    <t>THICKNESS DISTRIBUTION; FRAM STRAIT; UPPER-OCEAN; PACK ICE; MODEL; VARIABILITY; CLIMATE; CIRCULATION; COVER; FLUX</t>
  </si>
  <si>
    <t>[1] A dynamic-thermodynamic sea ice model with 50-km spatial and 24-hour temporal resolution was used to investigate the spatial and temporal variability of the sea ice cover and the surface energy exchange in the Arctic Basin. Daily surface level air temperature and pressure data from National Centers for Environmental Prediction for 1958-1997 and climatic data for cloudiness, relative humidity, snow precipitation, and the heat flux from the deep ocean in the Greenland, Barents, and Bering Seas were used as external forcing. The model is integrated using the method of large particles [Belotserkovskii, 1984]. The model satisfactorily reproduces the seasonal and interannual variability of the main characteristics of the sea ice, the sea ice extent and exchange through the main straits, and the surface heat exchange for different parts of the Arctic Basin. In particular, estimates of the year-to-year difference between mean sea ice thickness in September show good agreement with the essential thinning of sea ice in the Canadian Basin that Rothrock et al. [1999] found. Most of the decrease in sea ice thickness is caused by a decrease in ridge concentration and an increase in the area covered by undeformed ice. Numerical experiments show that only 20% of the ice decrease can be explained by an increase in surface level air temperature. Model results for the Canadian and Eurasian Basins allow us to determine the main trends in the temporal variability of ice thickness in these regions. Our model results suggest that the recent thinning of the sea ice correlates with a decrease in the concentration of ridged ice. In turn, the concentration of ridged ice and the total sea ice volume in the Canadian Basin correlate with cyclonic and anticyclonic regimes of the wind-driven ice motion. The sharp decrease in modeled ice volume in the Canadian Basin after 1987 also coincides with a significant increase in the mean atmospheric vorticity index for the central Arctic Ocean.</t>
  </si>
  <si>
    <t>Univ Alaska Fairbanks, Int Arctic Res Ctr, Fairbanks, AK 99775 USA; Arctic &amp; Antarctic Res Inst, St Petersburg 199226, Russia; USA, Cold Reg Res &amp; Engn Lab, Hanover, NH 03755 USA</t>
  </si>
  <si>
    <t>University of Alaska System; University of Alaska Fairbanks; Arctic &amp; Antarctic Research Institute; United States Department of Defense; United States Army; U.S. Army Corps of Engineers; U.S. Army Engineer Research &amp; Development Center (ERDC); Cold Regions Research &amp; Engineering Laboratory (CRREL)</t>
  </si>
  <si>
    <t>Univ Alaska Fairbanks, Int Arctic Res Ctr, 930 Koyukuk Dr,POB 757335, Fairbanks, AK 99775 USA.</t>
  </si>
  <si>
    <t>makshtas@iarc.uaf.edu</t>
  </si>
  <si>
    <t>10.1029/2001JC000878</t>
  </si>
  <si>
    <t>WOS:000184605900001</t>
  </si>
  <si>
    <t>Bais, AF; Madronich, S; Crawford, J; Hall, SR; Mayer, B; van Weele, M; Lenoble, J; Calvert, JG; Cantrell, CA; Shetter, RE; Hofzumahaus, A; Koepke, P; Monks, PS; Frost, G; McKenzie, R; Krotkov, N; Kylling, A; Swartz, WH; Lloyd, S; Pfister, G; Martin, TJ; Roeth, EP; Griffioen, E; Ruggaber, A; Krol, M; Kraus, A; Edwards, GD; Mueller, M; Lefer, BL; Johnston, P; Schwander, H; Flittner, D; Gardiner, BG; Barrick, J; Schmitt, R</t>
  </si>
  <si>
    <t>International Photolysis Frequency Measurement and Model Intercomparison (IPMMI): Spectral actinic solar flux measurements and modeling</t>
  </si>
  <si>
    <t>actinic flux; solar ultraviolet radiation; UV modeling; UV spectral measurements; model intercomparison</t>
  </si>
  <si>
    <t>ABSORPTION CROSS-SECTIONS; MULTIPLE-SCATTERING; RADIATION-FIELD; SPHERICAL MODEL; UV MEASUREMENTS; SPECTRORADIOMETRY; OZONE; TROPOSPHERE; IRRADIANCE; ATMOSPHERE</t>
  </si>
  <si>
    <t>[1] The International Photolysis Frequency Measurement and Model Intercomparison (IPMMI) took place in Boulder, Colorado, from 15 to 19 June 1998, aiming to investigate the level of accuracy of photolysis frequency and spectral downwelling actinic flux measurements and to explore the ability of radiative transfer models to reproduce the measurements. During this period, 2 days were selected to compare model calculations with measurements, one cloud-free and one cloudy. A series of ancillary measurements were also performed and provided parameters required as input to the models. Both measurements and modeling were blind, in the sense that no exchanges of data or calculations were allowed among the participants, and the results were objectively analyzed and compared by two independent referees. The objective of this paper is, first, to present the results of comparisons made between measured and modeled downwelling actinic flux and irradiance spectra and, second, to investigate the reasons for which some of the models or measurements deviate from the others. For clear skies the relative agreement between the 16 models depends strongly on solar zenith angle (SZA) and wavelength as well as on the input parameters used, like the extraterrestrial (ET) solar flux and the absorption cross sections. The majority of the models (11) agreed to within about +/-6% for solar zenith angles smaller than similar to60degrees. The agreement among the measured spectra depends on the optical characteristics of the instruments (e.g., slit function, stray light rejection, and sensitivity). After transforming the measurements to a common spectral resolution, two of the three participating spectroradiometers agree to within similar to10% for wavelengths longer than 310 nm and at all solar zenith angles, while their differences increase when moving to shorter wavelengths. Most models agree well with the measurements (both downwelling actinic flux and global irradiance), especially at local noon, where the agreement is within a few percent. A few models exhibit significant deviations with respect either to wavelength or to solar zenith angle. Models that use the Atmospheric Laboratory for Applications and Science 3 (ATLAS-3) solar flux agree better with the measured spectra, suggesting that ATLAS-3 is probably more appropriate for radiative transfer modeling in the ultraviolet.</t>
  </si>
  <si>
    <t>Aristotle Univ Thessaloniki, Lab Atmospher Phys, GR-54006 Thessaloniki, Greece; Natl Ctr Atmospher Res, Div Atmospher Chem, Boulder, CO 80303 USA; NASA, Langley Res Ctr, Hampton, VA 23681 USA; Royal Netherlands Meteorol Inst, NL-3730 AE De Bilt, Netherlands; Univ Grenoble 1, Equipe Interact Rayonnement Solaire Atmosphere, F-38000 Grenoble, France; Univ Sci &amp; Technol Lille, Opt Atmospher Lab, Lille, France; Forschungszentrum Julich, Inst Chem &amp; Dynam Geosphaere Troposphaere 2, D-52425 Julich, Germany; Univ Munich, Inst Meteorol, D-80333 Munich, Germany; Univ Leicester, Dept Chem, Leicester LE1 7RH, Leics, England; NOAA, Aeron Lab, Boulder, CO 80303 USA; Natl Inst Water &amp; Atmospher Res, Lauder 50061, New Zealand; Univ Maryland Baltimore Cty, Goddard Earth Sci &amp; Technol Ctr, Baltimore, MD 21250 USA; Norwegian Inst Air Res, N-2027 Kjeller, Norway; Johns Hopkins Univ, Appl Phys Lab, Laurel, MD 20723 USA; Karl Franzens Univ Graz, Inst Geophys Astrophys &amp; Meteorol, A-8010 Graz, Austria; Fraunhofer Inst Atmosphar Umweltforsch, Garmisch Partenkirchen, Germany; York Univ, Dept Earth &amp; Atmospher Sci, N York, ON M3J 1P3, Canada; Univ Munich, Inst Meteorol, D-80333 Munich, Germany; Inst Marine &amp; Atmospher Res, NL-3508 TA Utrecht, Netherlands; Forschungszentrum Julich, Inst Atmosphaer Chem, Julich, Germany; Univ Arizona, Inst Atmospher Phys, Tucson, AZ 85721 USA; British Antarctic Survey, Cambridge CB3 0ET, England; Meteorol Consult GmbH, D-61479 Glashutten, Germany</t>
  </si>
  <si>
    <t>Aristotle University of Thessaloniki; National Center Atmospheric Research (NCAR) - USA; National Aeronautics &amp; Space Administration (NASA); NASA Langley Research Center; Royal Netherlands Meteorological Institute; Communaute Universite Grenoble Alpes; Universite Grenoble Alpes (UGA); Universite de Lille; Helmholtz Association; Research Center Julich; University of Munich; University of Leicester; National Oceanic Atmospheric Admin (NOAA) - USA; National Institute of Water &amp; Atmospheric Research (NIWA) - New Zealand; University System of Maryland; University of Maryland Baltimore County; National Aeronautics &amp; Space Administration (NASA); NASA Goddard Space Flight Center; NILU; Johns Hopkins University; Johns Hopkins University Applied Physics Laboratory; University of Graz; Fraunhofer Gesellschaft; York University - Canada; University of Munich; Utrecht University; Helmholtz Association; Research Center Julich; University of Arizona; UK Research &amp; Innovation (UKRI); Natural Environment Research Council (NERC); NERC British Antarctic Survey</t>
  </si>
  <si>
    <t>Aristotle Univ Thessaloniki, Lab Atmospher Phys, GR-54006 Thessaloniki, Greece.</t>
  </si>
  <si>
    <t>abais@auth.gr; sasha@acd.ucar.edu; j.h.crawford@larc.nasa.gov; halls@ucar.edu; bernhard.mayer@dlr.de; weelevm@knmi.nl; jacqueline.lenoble@ujf-grenoble.fr; calvert@acd.ucar.edu; cantrell@ncar.ucar.edu; a.hofzumahaus@fz-juelich.de; peter.koepke@lrz.uni-muenchen.de; p.s.monks@le.ac.uk; gfrost@al.noaa.gov; r.mckenzie@niwa.co.nz; krotkov@chescat.gsfc.nasa.gov; arve.kylling@nilu.no; bill.swartz@jhuapl.edu; Steven.Lloyd@jhuapl.edu; pfister@ucar.edu; timothy.martin@gmx.de; e.p.roeth@fz-juelich.de; erik@nimbus.yorku.ca; krol@phys.uu.nl; gde@acd.ucar.edu; JO1@gmx.net; p.johnston@niwa.co.nz; flittner@air.atmo.arizona.edu; brian.gardiner@bas.ac.uk; metcon@metcon-us.com</t>
  </si>
  <si>
    <t>Lefer, Barry L/B-5417-2012; Cantrell, Christopher/AAC-4648-2019; Krol, Maarten/B-3597-2010; Monks, Paul/H-6468-2016; Hofzumahaus, Andreas/I-9420-2012; Swartz, William H/A-1965-2010; Kylling, Arve/B-1137-2017; Frost, Gregory J/I-1958-2013; Bais, Alkiviadis F/D-2230-2009; Martin, Tara J/F-2570-2017; Krotkov, Nickolay A/E-1541-2012; Pfister, Gabriele/A-9349-2008; Hall, Samuel/AAG-9516-2020; Madronich, Sasha/D-3284-2015; Lefer, Barry/X-9091-2019; Krol, Maarten/E-3414-2013; Mayer, Bernhard/B-3397-2011; Crawford, James/L-6632-2013</t>
  </si>
  <si>
    <t>Lefer, Barry L/0000-0001-9520-5495; Monks, Paul/0000-0001-9984-4390; Hofzumahaus, Andreas/0000-0003-2876-0880; Swartz, William H/0000-0002-9172-7189; Bais, Alkiviadis F/0000-0003-3899-2001; Krotkov, Nickolay A/0000-0001-6170-6750; Hall, Samuel/0000-0002-2060-7112; Madronich, Sasha/0000-0003-0983-1313; Lefer, Barry/0000-0001-9520-5495; Krol, Maarten/0000-0002-3506-2477; McKenzie, Richard Lloyd/0000-0002-4484-7057; Kylling, Arve/0000-0003-1584-5033; Mayer, Bernhard/0000-0002-3358-0190; Crawford, James/0000-0002-6982-0934</t>
  </si>
  <si>
    <t>JUL 17</t>
  </si>
  <si>
    <t>10.1029/2002JD002891</t>
  </si>
  <si>
    <t>709BF</t>
  </si>
  <si>
    <t>WOS:000184604300001</t>
  </si>
  <si>
    <t>Rayner, NA; Parker, DE; Horton, EB; Folland, CK; Alexander, LV; Rowell, DP; Kent, EC; Kaplan, A</t>
  </si>
  <si>
    <t>Global analyses of sea surface temperature, sea ice, and night marine air temperature since the late nineteenth century</t>
  </si>
  <si>
    <t>sea surface temperature; sea ice; night marine air temperature; climate data reconstruction; bias correction; climate change</t>
  </si>
  <si>
    <t>ANTARCTIC CIRCUMPOLAR WAVE; TROPICAL PACIFIC; INDIAN-OCEAN; TIME-SERIES; DATA SETS; SST DATA; CLIMATE; VARIABILITY; RECORD; MODEL</t>
  </si>
  <si>
    <t>[1] We present the Met Office Hadley Centre's sea ice and sea surface temperature (SST) data set, HadISST1, and the nighttime marine air temperature (NMAT) data set, HadMAT1. HadISST1 replaces the global sea ice and sea surface temperature (GISST) data sets and is a unique combination of monthly globally complete fields of SST and sea ice concentration on a 1degrees latitude-longitude grid from 1871. The companion HadMAT1 runs monthly from 1856 on a 5degrees latitude-longitude grid and incorporates new corrections for the effect on NMAT of increasing deck (and hence measurement) heights. HadISST1 and HadMAT1 temperatures are reconstructed using a two-stage reduced-space optimal interpolation procedure, followed by superposition of quality-improved gridded observations onto the reconstructions to restore local detail. The sea ice fields are made more homogeneous by compensating satellite microwave-based sea ice concentrations for the impact of surface melt effects on retrievals in the Arctic and for algorithm deficiencies in the Antarctic and by making the historical in situ concentrations consistent with the satellite data. SSTs near sea ice are estimated using statistical relationships between SST and sea ice concentration. HadISST1 compares well with other published analyses, capturing trends in global, hemispheric, and regional SST well, containing SST fields with more uniform variance through time and better month-to-month persistence than those in GISST. HadMAT1 is more consistent with SST and with collocated land surface air temperatures than previous NMAT data sets.</t>
  </si>
  <si>
    <t>Met Off, Hadley Ctr Climate Predict &amp; Res, Bracknell RG12 2SY, Berks, England; Southampton Oceanog Ctr, James Rennell Div, Southampton SO14 3ZH, Hants, England; Columbia Univ, Lamont Doherty Earth Observ, Palisades, NY 10964 USA</t>
  </si>
  <si>
    <t>Met Office - UK; Hadley Centre; NERC National Oceanography Centre; University of Southampton; Columbia University</t>
  </si>
  <si>
    <t>Met Off, Hadley Ctr Climate Predict &amp; Res, London Rd, Bracknell RG12 2SY, Berks, England.</t>
  </si>
  <si>
    <t>nick.rayner@metoffice.com</t>
  </si>
  <si>
    <t>Kent, Elizabeth/C-1281-2011; Rowell, David P/AAF-3674-2019; Folland, Chris K/I-2524-2013; Alexander, Lisa/A-8477-2011</t>
  </si>
  <si>
    <t>Kent, Elizabeth/0000-0002-6209-4247; Rowell, David P/0000-0002-6727-1732; Folland, Chris K/0000-0002-3143-5918; Alexander, Lisa/0000-0002-5635-2457</t>
  </si>
  <si>
    <t>10.1029/2002JD002670</t>
  </si>
  <si>
    <t>709AV</t>
  </si>
  <si>
    <t>WOS:000184603300003</t>
  </si>
  <si>
    <t>Arrigo, KR; Worthen, DL; Robinson, DH</t>
  </si>
  <si>
    <t>A coupled ocean-ecosystem model of the Ross Sea: 2. Iron regulation of phytoplankton taxonomic variability and primary production</t>
  </si>
  <si>
    <t>ecosystem; Antarctica; Phaeocystis; diatom; iron; phytoplankton</t>
  </si>
  <si>
    <t>ANTARCTIC SHELF WATERS; SOUTHERN-OCEAN; PHAEOCYSTIS-ANTARCTICA; ASSEMBLAGE COMPOSITION; BIOOPTICAL PROPERTIES; COMMUNITY STRUCTURE; CONTINENTAL-SHELF; LIGHT LIMITATION; ATMOSPHERIC CO2; ORGANIC-CARBON</t>
  </si>
  <si>
    <t>[1] A model of the Ross Sea pelagic ecosystem has been developed by incorporating biological and nutrient dynamics into an ocean general circulation model. Surface heat and salt fluxes are calculated in the model using sea ice concentrations that are specified daily using the 20 year climatology derived from passive microwave satellite data. Surface spectral irradiance is calculated and propagated through both the water column and the sea ice. The biological state variables include two phytoplankton groups (diatoms and Phaeocystis antarctica), two nutrients (NO3 and Fe), detritus, and zooplankton. Nutrients are supplied to the sea surface from upwelling of nutrient-rich deep waters, and in the case of Fe, from melting sea ice and snow which have accumulated aeolian-derived Fe during the preceding autumn and winter. Phytoplankton growth rate is computed as a function of light or nutrient limitation. The model is able to accurately simulate the temporal evolution of the two well-described phytoplankton blooms that dominate the southwestern Ross Sea: the diatom bloom in the shallow mixed layer of the western continental shelf (including Terra Nova Bay) and the P. antarctica bloom in the more deeply mixed Ross Sea polynya region. The simulated temporal progression of both phytoplankton blooms as well as their magnitude of primary production are in good agreement with time series estimates made using satellite ocean color data as validated by in situ observations. Model results suggest that Fe availability controls annual primary production in the Ross Sea, with only about two thirds of the available macronutrients in surface waters being consumed during the course of the bloom, but that Fe has little role in determining phytoplankton community composition. Rather, the taxonomic composition of the phytoplankton blooms is determined by the differential responses of shade-adapted P. antarctica and high light-adapted diatoms to the different mixing (and hence light) regimes within the Ross Sea. The model also predicts the development of a previously undescribed phytoplankton bloom along the eastern continental shelf, just north of the Ross Ice Shelf. The physical environment of this third phytoplankton bloom differs from that of the western shelf and the Ross Sea polynya region in that it receives a larger input of sea ice-derived Fe and experiences complete exhaustion of surface NO3. Consequently, annual production on the eastern continental shelf is higher than anywhere else in the Ross Sea and supports an unusually large grazer population.</t>
  </si>
  <si>
    <t>Stanford Univ, Dept Geophys, Stanford, CA 94305 USA; Univ Maryland Baltimore Cty, Joint Ctr Earth Syst Technol, Baltimore, MD 21250 USA; San Francisco State Univ, Romberg Tiburon Ctr, Tiburon, CA 94920 USA</t>
  </si>
  <si>
    <t>Stanford University; University System of Maryland; University of Maryland Baltimore County; California State University System; San Francisco State University</t>
  </si>
  <si>
    <t>Stanford Univ, Dept Geophys, Mitchell Bldg,Room 355, Stanford, CA 94305 USA.</t>
  </si>
  <si>
    <t>arrigo@pangea.stanford.edu</t>
  </si>
  <si>
    <t>Arrigo, Kevin/0000-0002-7364-876X</t>
  </si>
  <si>
    <t>JUL 16</t>
  </si>
  <si>
    <t>10.1029/2001JC000856</t>
  </si>
  <si>
    <t>709BW</t>
  </si>
  <si>
    <t>WOS:000184605700001</t>
  </si>
  <si>
    <t>Llubes, M; Florsch, N; Legresy, B; Lemoine, JM; Loyer, S; Crossley, D; Rémy, F</t>
  </si>
  <si>
    <t>Crustal thickness in Antarctica from CHAMP gravimetry</t>
  </si>
  <si>
    <t>gravimetry from satellite; Antarctic; crust thickness</t>
  </si>
  <si>
    <t>GRAVITY-ANOMALIES; AIRBORNE GRAVITY; MASS-BALANCE; MODEL; REGION; MARGIN</t>
  </si>
  <si>
    <t>CHAMP, flying at an altitude of about 400 kin, is the first of a new generation of satellites dedicated to Earth gravity field observation. The high-quality data have generated new gravity field models: EIGEN-1S in 2001, and EIGEN-2S more recently. The gravitational potential is decomposed into spherical harmonic coefficients and in this study we use the free air gravity anomalies reconstituted up to degree 60, at zero altitude. The anomalies for the Antarctic continent range from -57 to 65 mGal. We have modeled the gravity effect from the ice, the ocean and the bedrock. using a 666 kin cut-off filter to simulate the resolution obtained by CHAMP. Computing the differences between this terrain effect and the CHAMP map provides a map of the Bouguer anomalies. Because of the dominant influence of the crust, we first used a crustal thickness model from seismology. This gives a map of the mantle Bouguer anomalies, the range of which is still large (between -255 and 216 mGal) indicating imperfections in the crust model. By appealing to isostasy we then imposed the condition that this mantle Bouguer anomaly should vanish and therefore solve for a new resulting crustal thickness. This gravity-based crust model gives thicknesses from 8.5 to 42.6 km in the zone of interest. There is a good general agreement with seismological models, but our models shows more detail. particularly in the western part of the continent. These details are in agreement with geological studies. (C) 2003 Elsevier Science B.V. All rights reserved.</t>
  </si>
  <si>
    <t>CNRS, CNES, UMR5566, F-31401 Toulouse 4, France; Univ Paris 06, UMR Sisyphe, Dept Geophys Appl, F-75252 Paris 5, France; Grp Rech Geodesie Spatiale, F-31401 Toulouse 4, France; St Louis Univ, Dept Earth &amp; Atmospher Sci, St Louis, MO 63103 USA</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</si>
  <si>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Sorbonne Universite; Saint Louis University</t>
  </si>
  <si>
    <t>CNRS, CNES, UMR5566, 18 Edouard Belin, F-31401 Toulouse 4, France.</t>
  </si>
  <si>
    <t>muriel.llubes@cnes.fr; florsch@ccr.jussieu.fr; benoit.legresy@cnes.fr; lemoine@notos.cst.cnes.fr; sylvain.loyer@cnes.fr; crossley@eas.slu.edu; frederique.remy@cnes.fr</t>
  </si>
  <si>
    <t>legresy, benoit/K-6673-2018</t>
  </si>
  <si>
    <t>legresy, benoit/0000-0002-1909-1630</t>
  </si>
  <si>
    <t>JUL 15</t>
  </si>
  <si>
    <t>10.1016/S0012-821X(03)00245-0</t>
  </si>
  <si>
    <t>700PK</t>
  </si>
  <si>
    <t>WOS:000184120200008</t>
  </si>
  <si>
    <t>Smith, JA; Vance, D; Kemp, RA; Archer, C; Toms, P; King, M; Zárate, M</t>
  </si>
  <si>
    <t>Isotopic constraints on the source of Argentinian loess -: with implications for atmospheric circulation and the provenance of Antarctic dust during recent glacial maxima</t>
  </si>
  <si>
    <t>loess; South America; ice-core; Antarctica; Sr-Nd</t>
  </si>
  <si>
    <t>ICE-CORE; PALEOSOL SEQUENCE; EAST ANTARCTICA; TRACE-ELEMENT; DOME C; ND; GEOCHEMISTRY; SR; QUATERNARY; ORIGIN</t>
  </si>
  <si>
    <t>We present rare-earth element (REE) and Sr-Nd isotopic data for Argentinian loess (28-38degreesS) with two aims: (1) to examine the source regions of Argentinian loess and the constraints that these put on palaeo-wind directions; (2) to further investigate the source of Antarctic ice-core dust and to test the hypothesis that some of it could be derived from a region to the north of Patagonia - into which the dry, dusty, westerly dominated Patagonian climate expanded during Quaternary glacial maxima. Sr-Nd isotopic data for Argentinian loess from north of 37degreesS are distinct from Patagonian loess compositions in that they have more radiogenic Sr (Sr-87/Sr-86 = 0.7059-0.7123) and less radiogenic Nd (epsilon(Nd) = -0.8 to -6.4). REE patterns and Sr-Nd isotopic values are relatively homogeneous for multiple samples taken from single loess sections but show significant differences between sections. In general, there is a northward change from Patagonia-like REE patterns and isotopic values away from volcanogenic signatures and towards those that are more like the continental crust. The latitudinal Nd isotopic pattern is remarkably similar to that for Andean volcanic rocks and suggests derivation of loess from the Andes by more-or-less direct westerly transport. For loess sections in the north, the data imply a contribution from Palaeozoic gneisses to the northwest in the Chilean Altiplano. Sr-Nd data for extra-Patagonian Argentinian loess north of 37degreesS do not support a significant role for this source region in supplying dust to Antarctica at the last glacial maximum. This conclusion contrasts with previous studies that suggest a significant northward shift in the climatic belts - and in particular the westerlies and the Antarctic Polar Front - during Quaternary glacial maxima. Very systematic relations between the Sr-Nd isotopic composition of loess and their Andean source highlights shifts in the Sr isotopic composition of loess to more radiogenic values and strongly suggests that the slight offset between Patagonian loess and ice-core dust identified by previous workers is due to grain-size differentiation effects. (C) 2003 Elsevier Science B.V. All rights reserved.</t>
  </si>
  <si>
    <t>Univ London, Royal Holloway &amp; Bedford New Coll, Dept Geog, Quaternary Res Ctr, Egham TW20 0EX, Surrey, England; Univ London, Royal Holloway &amp; Bedford New Coll, Dept Geol, Egham TW20 0EX, Surrey, England; Consejo Nacl Invest Cient &amp; Tecn, IANIGLA, CRICYT, RA-5500 Mendoza, Argentina</t>
  </si>
  <si>
    <t>University of London; Royal Holloway University London; University of London; Royal Holloway University London; Consejo Nacional de Investigaciones Cientificas y Tecnicas (CONICET); University Nacional Cuyo Mendoza</t>
  </si>
  <si>
    <t>Univ Durham, Dept Geog, Sci Labs, Durham DH1 3LE, England.</t>
  </si>
  <si>
    <t>j.a.smith@durham.ac.uk</t>
  </si>
  <si>
    <t>Smith, James A/N-1836-2013</t>
  </si>
  <si>
    <t>Toms, Phillip/0000-0003-2149-046X</t>
  </si>
  <si>
    <t>10.1016/S0012-821X(03)00260-7</t>
  </si>
  <si>
    <t>WOS:000184120200013</t>
  </si>
  <si>
    <t>Loutre, MF</t>
  </si>
  <si>
    <t>Clues from MIS 11 to predict the future climate - a modelling point of view</t>
  </si>
  <si>
    <t>marine isotope stage 11; future climate; palaeoclimate modelling; EMIC</t>
  </si>
  <si>
    <t>HEMISPHERE ICE VOLUME; ISOTOPE STAGE 11; ANTARCTIC ICE; MIDDLE PLEISTOCENE; NORTH-ATLANTIC; ATMOSPHERIC CO2; SHEET MODEL; WARM FUTURE; AGE CYCLE; GREENLAND</t>
  </si>
  <si>
    <t>Simulations performed with the LLN two-dimensional Northern Hemisphere climate model have confirmed that climate is largely triggered by changes in insolation forcing although atmospheric CO, concentration also plays an important role, in particular in the amplitude of the simulated variations. Marine isotope stage 11 (MIS 11) some 400 kyr ago and the future share a common feature related to climate forcing, i.e. the insolation at these times displays small similar variations. MIS 11 can be considered an analogue for future natural climate changes. Different simulations were performed to identify the conditions constraining the length of the MIS 11 simulated interglacial. Clearly its length strongly depends on the phase relationship between insolation and CO2 variations. It is only when insolation and CO? act together towards a cooling, i.e. they both decrease together, that the climate enters quickly into glaciation and that the interglacial may be short. Otherwise each forcing alone is not able to drive the system into glaciation and the climate remains in an interglacial state. The same situation applies for the future. However, we already know that CO2 and insolation do not play together. Indeed, insolation has been decreasing since 11 kyr BP and CO2 concentration remains above 260 ppmv, with a general increasing trend over the last 8000 yr. Therefore we conclude that the long interglacial simulated for the future is a robust feature and the Earth will not enter naturally into glaciation before 50 kyr AP. (C) 2003 Elsevier Science B.V. All rights reserved.</t>
  </si>
  <si>
    <t>Univ Catholique Louvain, Inst Astron &amp; Geophys Georges Lemaitre, B-1348 Louvain, Belgium</t>
  </si>
  <si>
    <t>Universite Catholique Louvain</t>
  </si>
  <si>
    <t>Loutre, MF (corresponding author), Univ Catholique Louvain, Inst Astron &amp; Geophys Georges Lemaitre, 2 Chemin Cyclotron, B-1348 Louvain, Belgium.</t>
  </si>
  <si>
    <t>Loutre, Marie-France/L-3594-2018</t>
  </si>
  <si>
    <t>Loutre, Marie-France/0000-0001-6944-4038</t>
  </si>
  <si>
    <t>10.1016/S0012-821X(03)00235-8</t>
  </si>
  <si>
    <t>WOS:000184120200015</t>
  </si>
  <si>
    <t>Landis, MS; Stevens, RK</t>
  </si>
  <si>
    <t>Comment on Measurements of atmospheric mercury species at a coastal site in the Antarctic and over the south Atlantic Ocean during polar summer</t>
  </si>
  <si>
    <t>ENVIRONMENTAL SCIENCE &amp; TECHNOLOGY</t>
  </si>
  <si>
    <t>Letter</t>
  </si>
  <si>
    <t>REACTIVE GASEOUS MERCURY; AMBIENT AIR; DENUDER</t>
  </si>
  <si>
    <t>US EPA, Off Res &amp; Dev, Res Triangle Pk, NC 27711 USA</t>
  </si>
  <si>
    <t>United States Environmental Protection Agency</t>
  </si>
  <si>
    <t>Landis, MS (corresponding author), US EPA, Off Res &amp; Dev, Res Triangle Pk, NC 27711 USA.</t>
  </si>
  <si>
    <t>Landis, Matthew/P-5149-2014</t>
  </si>
  <si>
    <t>Landis, Matthew/0000-0002-8742-496X</t>
  </si>
  <si>
    <t>AMER CHEMICAL SOC</t>
  </si>
  <si>
    <t>1155 16TH ST, NW, WASHINGTON, DC 20036 USA</t>
  </si>
  <si>
    <t>0013-936X</t>
  </si>
  <si>
    <t>ENVIRON SCI TECHNOL</t>
  </si>
  <si>
    <t>Environ. Sci. Technol.</t>
  </si>
  <si>
    <t>10.1021/es0303844</t>
  </si>
  <si>
    <t>702QF</t>
  </si>
  <si>
    <t>WOS:000184234000028</t>
  </si>
  <si>
    <t>Temme, C; Ebinghaus, R; Einax, JW; Schroeder, WH</t>
  </si>
  <si>
    <t>Response to comment on Measurements of atmospheric mercury species at a coastal site in the Antarctic and over the south Atlantic Ocean during polar summer</t>
  </si>
  <si>
    <t>GKSS, Res Ctr Geesthacht, Inst Coastal Res Phys &amp; Chem Anal, D-21502 Geesthacht, Germany; Univ Jena, Inst Inorgan &amp; Analyt Chem, Dept Environm Anal, D-07743 Jena, Germany; Meteorol Serv Canada, Downsview, ON M3H 5T4, Canada</t>
  </si>
  <si>
    <t>Helmholtz Association; Helmholtz-Zentrum Hereon; Friedrich Schiller University of Jena; Environment &amp; Climate Change Canada; Meteorological Service of Canada</t>
  </si>
  <si>
    <t>Temme, C (corresponding author), GKSS, Res Ctr Geesthacht, Inst Coastal Res Phys &amp; Chem Anal, D-21502 Geesthacht, Germany.</t>
  </si>
  <si>
    <t>10.1021/es030462n</t>
  </si>
  <si>
    <t>WOS:000184234000029</t>
  </si>
  <si>
    <t>Broecker, WS; Clark, E</t>
  </si>
  <si>
    <t>CaCO3 dissolution in the deep sea:: Paced by insolation cycles -: art. no. 1059</t>
  </si>
  <si>
    <t>calcite dissolution; paleocarbonate ion; insolation cycles</t>
  </si>
  <si>
    <t>PALEOCARBONATE ION PROXY; ATLANTIC-OCEAN; NORTH-ATLANTIC; FORAMINIFERA; CALCIFICATION</t>
  </si>
  <si>
    <t>[1] Three CaCO3 dissolution events have been documented in the western equatorial Atlantic, one associated with marine isotope stage 5d, one with stage 5b, and one with early stage 4. The intensity of these events appears to require a greatly expanded invasion of waters with a low carbonate ion concentration akin to that characterizing today's deep Pacific ( and also the Antarctic Bottom Water). While evident in a core from a depth of 3.4 km, these three events appear to be much less intense in the western equatorial Pacific than in the western Atlantic. The Atlantic results appear to be telling us that the density difference between Southern Ocean and North Atlantic deep waters has been modulated by insolation changes associated with the 23,000-year precession cycle.</t>
  </si>
  <si>
    <t>Columbia Univ, Lamont Doherty Earth Observ, Palisades, NY 10964 USA</t>
  </si>
  <si>
    <t>Broecker, WS (corresponding author), Columbia Univ, Lamont Doherty Earth Observ, 61 Route 9W,POB 1000, Palisades, NY 10964 USA.</t>
  </si>
  <si>
    <t>10.1029/2002GC000450</t>
  </si>
  <si>
    <t>708YP</t>
  </si>
  <si>
    <t>WOS:000184598200002</t>
  </si>
  <si>
    <t>Römisch, K; Collie, N; Soto, N; Logue, J; Lindsay, M; Scheper, W; Cheng, CHC</t>
  </si>
  <si>
    <t>Protein translocation across the endoplasmic reticulum membrane in cold-adapted organisms</t>
  </si>
  <si>
    <t>JOURNAL OF CELL SCIENCE</t>
  </si>
  <si>
    <t>Sec61 channel; ER lipid composition; secretion; Antarctic fish; Antarctic yeast</t>
  </si>
  <si>
    <t>BIOLOGICAL-MEMBRANES; ER MEMBRANE; SACCHAROMYCES-CEREVISIAE; HOMEOVISCOUS ADAPTATION; TRANSPORT; TEMPERATURES; INHIBITION; ENZYMES; CHANNEL; MUTANTS</t>
  </si>
  <si>
    <t>Secretory proteins enter the secretory pathway by translocation across the membrane of the endoplasmic reticulum (ER) via a channel formed primarily by the Sec61 protein. Protein translocation is highly temperature dependent in mesophilic organisms. We asked whether the protein translocation machinery of organisms from extremely cold habitats was adapted to function at low temperature and found that post-translational protein import into ER-derived microsomes from Antarctic yeast at low temperature was indeed more efficient than into mesophilic yeast microsomes. Analysis of the amino-acid sequences of the core component of the protein translocation channel, Sec61p, from Antarctic yeast species did not reveal amino-acid changes potentially adaptive for function in the cold, because the sequences were too divergent. We therefore analyzed Sec61alpha (vertebrate Sec61p) sequences and protein translocation into the ER of Antarctic and Arctic fishes and compared them to Sec61alpha and protein translocation into the ER of temperate-water fishes and mammals. Overall, Sec61alpha is highly conserved amongst these divergent taxa; a number of amino-acid changes specific to fishes are evident throughout the protein, and, in addition, changes specific to cold-water fishes cluster in the lumenal loop between transmembrane domains 7 and 8 of Sec61alpha, which is known to be important for protein translocation across the ER membrane. Secretory proteins translocated more efficiently into fish microsomes than into mammalian microsomes at 10degreesC and 0degreesC. The efficiency of protein translocation at 0degreesC was highest for microsomes from a cold-water fish. Despite substantial differences in ER membrane lipid composition, ER membrane fluidity was identical in Antarctic fishes, mesophilic fishes and warm-blooded vertebrates, suggesting that membrane fluidity, although typically important for the function of the transmembrane proteins, is not limiting for protein translocation across the ER membrane in the cold. Collectively, our data suggest that the limited amino-acid changes in Sec61alpha from fishes may be functionally significant and represent adaptive changes that enhance channel function in the cold.</t>
  </si>
  <si>
    <t>Univ Cambridge, CIMR, Cambridge CB2 2XY, England; Univ Cambridge, Dept Clin Biochem, Cambridge CB2 2XY, England; Univ Illinois, Dept Biol Anim, Urbana, IL 61801 USA</t>
  </si>
  <si>
    <t>University of Cambridge; University of Cambridge; University of Illinois System; University of Illinois Urbana-Champaign</t>
  </si>
  <si>
    <t>Römisch, K (corresponding author), Univ Cambridge, CIMR, Wellcome Trust MRC Bldg,Hills Rd, Cambridge CB2 2XY, England.</t>
  </si>
  <si>
    <t>Römisch, Karin/AAO-1210-2021; Scheper, Wiep/AAI-7323-2020</t>
  </si>
  <si>
    <t>Römisch, Karin/0000-0003-0415-6558; Scheper, Wiep/0000-0002-1431-4559; /0000-0002-6350-0657</t>
  </si>
  <si>
    <t>0021-9533</t>
  </si>
  <si>
    <t>J CELL SCI</t>
  </si>
  <si>
    <t>J. Cell Sci.</t>
  </si>
  <si>
    <t>10.1242/jcs.00597</t>
  </si>
  <si>
    <t>Cell Biology</t>
  </si>
  <si>
    <t>704XZ</t>
  </si>
  <si>
    <t>WOS:000184368100007</t>
  </si>
  <si>
    <t>Dafner, E; Mordasova, N; Arzhanova, N; Maslennikov, V; Mikhailovsky, Y; Naletova, I; Sapozhnikov, V; Selin, P; Zubarevich, V</t>
  </si>
  <si>
    <t>Major nutrients and dissolved oxygen as indicators of the frontal zones in the Atlantic sector of the Southern Ocean</t>
  </si>
  <si>
    <t>nutrients; dissolved oxygen; chemical indicators; Atlantic sector of the Southern Ocean</t>
  </si>
  <si>
    <t>ANTARCTIC CIRCUMPOLAR CURRENT; EASTERN SCOTIA SEA; WATER MASSES; OCEANOGRAPHIC STRUCTURE; POLAR FRONT; BLOOMS; PHYTOPLANKTON; IRON; DISTRIBUTIONS; CHLOROPHYLL</t>
  </si>
  <si>
    <t>[1] The chemical tracers of the main frontal zones of the Atlantic sector of the Southern Ocean are considered. Before the beginning of the spring bloom, frontal zones are distinguished by lateral gradients of dissolved oxygen, phosphate, nitrate, and silicate. During the spring bloom, the smoothing of nutrient concentrations on both sides of the fronts weakens lateral gradients of chemical properties. The position of surface gradients of nutrients within the Subtropical Frontal Zone (STFZ) does not coincide with the location of temperature and salinity gradients. As a result, fronts in this region have a stepped character. The best chemical indicator of the Northern STFZ front is the dissolved oxygen gradient, which coincides with the temperature and salinity gradients. The southern boundary of the STFZ is distinguished by the gradient of nitrate. The chemical criterion for identifying the Subantarctic Front is the gradient of oxygen, which ranges from 0.5 to 4.0 mumol kg(-1) per km; the Polar Front is identified by the gradient of silicate (0.56 to 2.78 muM per km). At the surface, the Weddell-Scotia Confluence (WSC) is distinguished not by the temperature and salinity, but by chemical parameters: The best year-round criterion is the lateral gradient of silicate-to-phosphate atomic ratio, which ranges from 25 to 35. Other markers of the WSC are the gradients of silicate at the surface, oxygen at the upper boundary of the Circumpolar Deep Water, and the depths of its location.</t>
  </si>
  <si>
    <t>Univ Hawaii Manoa, Sch Ocean &amp; Earth Sci &amp; Technol, Dept Oceanog, Honolulu, HI 96822 USA; VNIRO, Russian Fed Res Inst Fisheries &amp; Oceanog, Dept Marine Ecol, Moscow 107140, Russia</t>
  </si>
  <si>
    <t>University of Hawaii System; University of Hawaii Manoa; Research lnstitute of Fisheries &amp; Oceanography</t>
  </si>
  <si>
    <t>Univ Hawaii Manoa, Sch Ocean &amp; Earth Sci &amp; Technol, Dept Oceanog, Honolulu, HI 96822 USA.</t>
  </si>
  <si>
    <t>evgeny@hawaii.edu</t>
  </si>
  <si>
    <t>10.1029/1999JC000288</t>
  </si>
  <si>
    <t>709BV</t>
  </si>
  <si>
    <t>WOS:000184605600001</t>
  </si>
  <si>
    <t>Simpson, PJL; Nichols, DS; Codd, R</t>
  </si>
  <si>
    <t>A cold-adapted metallo-oxotransferase, periplasmic nitrate reductase, from an Antarctic bacterium</t>
  </si>
  <si>
    <t>JOURNAL OF INORGANIC BIOCHEMISTRY</t>
  </si>
  <si>
    <t>11th International Conference on Biological Inorganic Chemistry</t>
  </si>
  <si>
    <t>JUL 19-23, 2003</t>
  </si>
  <si>
    <t>CAIMS, AUSTRALIA</t>
  </si>
  <si>
    <t>Univ Sydney, Sch Chem, Ctr Heavy Metals Res, Sydney, NSW 2006, Australia</t>
  </si>
  <si>
    <t>University of Sydney</t>
  </si>
  <si>
    <t>Codd, Rachel/C-1202-2012</t>
  </si>
  <si>
    <t>Codd, Rachel/0000-0002-2703-883X</t>
  </si>
  <si>
    <t>0162-0134</t>
  </si>
  <si>
    <t>J INORG BIOCHEM</t>
  </si>
  <si>
    <t>J. Inorg. Biochem.</t>
  </si>
  <si>
    <t>10.1016/S0162-0134(03)80770-5</t>
  </si>
  <si>
    <t>Biochemistry &amp; Molecular Biology; Chemistry, Inorganic &amp; Nuclear</t>
  </si>
  <si>
    <t>698QG</t>
  </si>
  <si>
    <t>WOS:000184009800359</t>
  </si>
  <si>
    <t>Jacobs, J; Fanning, CM; Bauer, W</t>
  </si>
  <si>
    <t>Timing of Grenville-age vs. Pan-African medium- to high grade metamorphism in western Dronning Maud Land (East Antarctica) and significance for correlations in Rodinia and Gondwana</t>
  </si>
  <si>
    <t>orogeny; Kalahari; Grenville; U-PbSHRIMP; zircon; mesoproterozoic</t>
  </si>
  <si>
    <t>U-PB AGES; HEIMEFRONTFJELLA; COLLISION; SOUTHERN; CRATON</t>
  </si>
  <si>
    <t>Heimefrontfjella in western Dronning Maud Land, East Antarctica, is part of the c. 1.1 Ga Namaqua-Natal-Maud Belt. It is situated at an important location, both for Rodinia reconstructions and at the western orogenic front of the Late Neoproterozoic/Early Palaeozoic East African/Antarctic Orogen. Six basement samples help to precisely date the Grenville-age metamorphism between c. 1090 and 1060 Ma. These dates indicate that palaeomagnetic data from the Coats Land Block to the south of the Maud Belt cannot be taken to support the contiguity of the Coats Land/Maud/Grunehogna continental fragment and Kalahari during Late Mesoproterozoic times. A comparison of aeromagnetic data and crustal provinces indicates that the Coats Land basement is likely to be composed of pre-Mesoproterozoic basement that was differentially reworked at c. 500 Ma within the East African/Antarctic Orogen. The western orogenic front of the East African/Antarctic Orogen is exposed as the Heimefront Shear Zone. Zircons from this shear zone show a thin, low-U, reaction zone that probably resulted from mylonitisation at amphibolite facies conditions. The rims were too thin to be analysed. However, only a few kilometres to the E of the shear zone, c. 500 Ma Pan-African zircon overgrowth is present, clearly indicating intense Late Neoproterozoic/Early Palaeozoic reworking of the Grenville-age basement and allowing the direct dating of this younger overprint. High grade reworking must have been followed by rapid cooling, as shown by a number of c. 500 Ma K-Ar and Ar-Ar hornblende and mica ages. Whereas the western orogenic front of the East African/Antarctic Orogen is exposed as the Heimefront Shear Zone, the eastern orogenic front might be represented by the Otter Highland Thrust in the Shackleton Range, with variably reworked crust up to granulite facies in between these two structural discontinuities. (C) 2003 Elsevier Science B.V. All rights reserved.</t>
  </si>
  <si>
    <t>Univ Bremen, Fachbereich Geowissensch, D-28334 Bremen, Germany; Australian Natl Univ, Canberra, ACT 02000, Australia; Rhein Westfal TH Aachen, Geol Inst, D-52056 Aachen, Germany</t>
  </si>
  <si>
    <t>University of Bremen; Australian National University; RWTH Aachen University</t>
  </si>
  <si>
    <t>10.1016/S0301-9268(03)00048-2</t>
  </si>
  <si>
    <t>693RX</t>
  </si>
  <si>
    <t>WOS:000183733100001</t>
  </si>
  <si>
    <t>Gavagnin, M; Carbone, M; Mollo, E; Cimino, G</t>
  </si>
  <si>
    <t>Further chemical studies on the Antarctic nudibranch Austrodoris kerguelenensis:: new terpenoid acylglycerols and revision of the previous stereochemistry</t>
  </si>
  <si>
    <t>TETRAHEDRON</t>
  </si>
  <si>
    <t>marine natural products; terpenes and terpenoids; stereochemistry</t>
  </si>
  <si>
    <t>MARINE OPISTHOBRANCH MOLLUSKS; DITERPENOIC ACID GLYCERIDES; CARBON SKELETON; DORIS-VERRUCOSA; DIACYLGLYCEROLS; SKIN; ECOLOGY; ESTERS</t>
  </si>
  <si>
    <t>The diterpenoid acylglycerol fraction from an extract of the mantle of a new collection of the Antarctic dorid gastropod mollusc Austrodoris kerguelenensis has been chemically analysed. Two novel 2-monoacylglycerols 9 and 12, along with known 1,2-diacyl glyceryl esters 5 and 6, now reassigned as 7 and 8, have been isolated. The linkage of a diterpenoid moiety at C-2 of glycerol characterizes all the compounds. Because the R absolute stereochemistry at C-2 of glycerol has been established for the corresponding 1,3-glyceryl esters 1 and 2, derived from 7 and 8 by acyl-migration of the terpenoid moiety from C-2 to C-3, our finding implies that 1,2-derivatives from Antarctic nudibranchs have the same S stereochemistry as all 1,2-sn-diacylglycerols from the other dorids. (C) 2003 Elsevier Science Ltd. All rights reserved.</t>
  </si>
  <si>
    <t>CNR, Ist Chim Biomol, I-80078 Pozzuoli, NA, Italy</t>
  </si>
  <si>
    <t>Consiglio Nazionale delle Ricerche (CNR); Istituto di Chimica Biomolecolare (ICB-CNR)</t>
  </si>
  <si>
    <t>Gavagnin, M (corresponding author), CNR, Ist Chim Biomol, Via Campi Flegrei 34, I-80078 Pozzuoli, NA, Italy.</t>
  </si>
  <si>
    <t>mgavagnin@icmib.na.cnr.it</t>
  </si>
  <si>
    <t>Mollo, Ernesto/F-7842-2013; Gavagnin, Margherita/B-4584-2012</t>
  </si>
  <si>
    <t>Mollo, Ernesto/0000-0001-7379-1788; CARBONE, MARIANNA/0000-0003-3729-5714</t>
  </si>
  <si>
    <t>0040-4020</t>
  </si>
  <si>
    <t>Tetrahedron</t>
  </si>
  <si>
    <t>JUL 14</t>
  </si>
  <si>
    <t>10.1016/S0040-4020(03)00775-0</t>
  </si>
  <si>
    <t>701JR</t>
  </si>
  <si>
    <t>WOS:000184164900025</t>
  </si>
  <si>
    <t>Rundgren, M; Beerling, D</t>
  </si>
  <si>
    <t>Fossil leaves:: Effective bioindicators of ancient CO2 levels? -: art. no. 1058</t>
  </si>
  <si>
    <t>Paleobotany; Quaternary; stomata; Younger Dryas; atmospheric composition and structure : evolution of the atmosphere; meteorology and atmospheric dynamics : paleoclimatology</t>
  </si>
  <si>
    <t>ATMOSPHERIC CO2; ICE-CORE; EQUATORIAL PACIFIC; STOMATAL DENSITY; ANTARCTIC ICE; RECORD; TEMPERATURE; CLIMATE; INDEX; OCEAN</t>
  </si>
  <si>
    <t>Lund Univ, Dept Geol, SE-22362 Lund, Sweden; Univ Sheffield, Dept Anim &amp; Plant Sci, Sheffield S10 2TN, S Yorkshire, England</t>
  </si>
  <si>
    <t>Lund University; University of Sheffield</t>
  </si>
  <si>
    <t>Beerling, David/C-2840-2009</t>
  </si>
  <si>
    <t>Beerling, David/0000-0003-1869-4314</t>
  </si>
  <si>
    <t>JUL 12</t>
  </si>
  <si>
    <t>10.1029/2002GC000463</t>
  </si>
  <si>
    <t>704KA</t>
  </si>
  <si>
    <t>WOS:000184337800003</t>
  </si>
  <si>
    <t>McKay, CP; Hand, KP; Doran, PT; Andersen, DT; Priscu, JC</t>
  </si>
  <si>
    <t>Clathrate formation and the fate of noble and biologically useful gases in Lake Vostok, Antarctica</t>
  </si>
  <si>
    <t>ICE; SUPERSATURATION; FROZEN; LIFE</t>
  </si>
  <si>
    <t>[1] Lake Vostok is a large lake located 4 km beneath the East Antarctic Ice Sheet that should be supersaturated with dissolved gases in equilibrium with clathrate present in the water column. Here we show that if the age of the lake is such that the lake water mass has been cycled over 30 times then the total dissolved gas equilibrates at about 2.5 liters (STP) of gas per kg of water; high enough to have important implications for drilling into this deep subglacial lake. Different air gases are preferentially incorporated into the clathrate and thus the molar ratios in the water column will reflect the presence of clathrate and indicate a more precise age of the lake. Preferential incorporation of CO2 into the clathrate would result in the clathrate sinking if the carbon input is 1% of the air input and the lake water is fresh water. The redox state of the lake is set by the high oxygen concentration which is 50 times more than air-equilibrated water and may be a severe biological stress.</t>
  </si>
  <si>
    <t>NASA, Div Space Sci, Ames Res Ctr, Moffett Field, CA 94035 USA; Stanford Univ, Dept Geol &amp; Environm Sci, Stanford, CA 94305 USA; Univ Illinois, Dept Earth &amp; Environm Sci, Chicago, IL 60607 USA; SETI Inst, Ctr Study Life Universe, Mountain View, CA 94043 USA; Montana State Univ, Dept Land Resources &amp; Environm Sci, Bozeman, MT 59717 USA</t>
  </si>
  <si>
    <t>National Aeronautics &amp; Space Administration (NASA); NASA Ames Research Center; Stanford University; University of Illinois System; University of Illinois Chicago; University of Illinois Chicago Hospital; Montana State University System; Montana State University Bozeman</t>
  </si>
  <si>
    <t>NASA, Div Space Sci, Ames Res Ctr, Moffett Field, CA 94035 USA.</t>
  </si>
  <si>
    <t>cmckay@mail.arc.nasa.gov; khand@pangea.stanford.edu; pdoran@uic.edu; dandersen@seti.org; jpriscu@montana.edu</t>
  </si>
  <si>
    <t>Andersen, Dale T/B-4816-2013; Hand, Kevin Peter/I-8246-2018</t>
  </si>
  <si>
    <t>Andersen, Dale T/0000-0001-8827-1259; Hand, Kevin Peter/0000-0002-3225-9426; McKay, Christopher/0000-0002-6243-1362</t>
  </si>
  <si>
    <t>JUL 10</t>
  </si>
  <si>
    <t>10.1029/2003GL017490</t>
  </si>
  <si>
    <t>704KH</t>
  </si>
  <si>
    <t>WOS:000184338500005</t>
  </si>
  <si>
    <t>Fortin, TJ; Drdla, K; Iraci, LT; Tolbert, MA</t>
  </si>
  <si>
    <t>Ice condensation on sulfuric acid tetrahydrate: Implications for polar stratospheric ice clouds</t>
  </si>
  <si>
    <t>ATMOSPHERIC CHEMISTRY AND PHYSICS</t>
  </si>
  <si>
    <t>PHASE-TRANSITIONS; HNO3/H2SO4/H2O SOLUTIONS; HETEROGENEOUS CHEMISTRY; ANTARCTIC STRATOSPHERE; PHYSICAL-CHEMISTRY; LIDAR OBSERVATIONS; AEROSOL DROPLETS; LOW-TEMPERATURES; CIRRUS CLOUDS; OZONE HOLE</t>
  </si>
  <si>
    <t>The mechanism of ice nucleation to form Type 2 PSCs is important for controlling the ice particle size and hence the possible dehydration in the polar winter stratosphere. This paper probes heterogeneous ice nucleation on sulfuric acid tetrahydrate (SAT). Laboratory experiments were performed using a thin-film, high-vacuum apparatus in which the condensed phase is monitored via Fourier transform infrared spectroscopy and water pressure is monitored with the combination of an MKS baratron and an ionization gauge. Results show that SAT is an efficient ice nucleus with a critical ice saturation ratio of S-ice* = 1.3 to 1.02 over the temperature range 169.8-194.5 K. This corresponds to a necessary supercooling of 0.1-1.3 K below the ice frost point. The laboratory data is used as input for a microphysical/photochemical model to probe the effect that this heterogeneous nucleation mechanism could have on Type 2 PSC formation and stratospheric dehydration. In the model simulations, even a very small number of SAT particles (e.g., 10(-3) cm(-3)) result in ice nucleation on SAT as the dominant mechanism for Type 2 PSC formation. As a result, Type 2 PSC formation is more widespread, leading to larger-scale dehydration. The characteristics of the clouds are controlled by the assumed number of SAT particles present, demonstrating that a proper treatment of SAT is critical for correctly modeling Type 2 PSC formation and stratospheric dehydration.</t>
  </si>
  <si>
    <t>Univ Colorado, CIRES, Ctr Sci &amp; Technol Policy Res, Boulder, CO 80309 USA; Univ Colorado, Dept Chem &amp; Biochem, Boulder, CO 80309 USA; NASA, Ames Res Ctr, Div Earth Sci, Moffett Field, CA 94035 USA</t>
  </si>
  <si>
    <t>University of Colorado System; University of Colorado Boulder; University of Colorado System; University of Colorado Boulder; National Aeronautics &amp; Space Administration (NASA); NASA Ames Research Center</t>
  </si>
  <si>
    <t>Fortin, TJ (corresponding author), Univ Colorado, CIRES, Ctr Sci &amp; Technol Policy Res, 1333 Grandview Ave, Boulder, CO 80309 USA.</t>
  </si>
  <si>
    <t>1680-7324</t>
  </si>
  <si>
    <t>ATMOS CHEM PHYS</t>
  </si>
  <si>
    <t>Atmos. Chem. Phys.</t>
  </si>
  <si>
    <t>JUL 9</t>
  </si>
  <si>
    <t>10.5194/acp-3-987-2003</t>
  </si>
  <si>
    <t>Environmental Sciences; Meteorology &amp; Atmospheric Sciences</t>
  </si>
  <si>
    <t>Environmental Sciences &amp; Ecology; Meteorology &amp; Atmospheric Sciences</t>
  </si>
  <si>
    <t>700DX</t>
  </si>
  <si>
    <t>WOS:000184098300002</t>
  </si>
  <si>
    <t>Jackson, MD; Cheadle, MJ; Atherton, MP</t>
  </si>
  <si>
    <t>Quantitative modeling of granitic melt generation and segregation in the continental crust</t>
  </si>
  <si>
    <t>granite; melt generation; melt segregation; compaction; lower crust</t>
  </si>
  <si>
    <t>UNDERPLATED BASALTIC CRUST; SOURCE MATERIAL RESTITE; TRACE-ELEMENT; EXPERIMENTAL DEFORMATION; ANTARCTIC PENINSULA; MAGMA PRODUCTION; KILAUEA VOLCANO; FELSIC MAGMAS; LIQUID-PHASE; 10 KBAR</t>
  </si>
  <si>
    <t>We present a new quantitative model of granitic (in a broad sense) melt generation and segregation within the continental crust. We assume that melt generation is caused by the intrusion of hot, mantle-derived basalt, and that segregation occurs by buoyancy-driven flow along grain edges coupled with compaction of the partially molten source rock. We solve numerically the coupled equations governing heating, melting, and melt migration in the source rock, and cooling and crystallization in the underlying heat source. Our results demonstrate that the spatial distribution and composition of the melt depends upon the relative upward transport rates of heat and melt. If melt transport occurs more quickly than heat transport, then melt accumulates near the top of the source region, until the rock matrix disaggregates and a mobile magma forms. As the melt migrates upward, its composition changes to resemble a smaller degree of melting of the source rock, because it thermodynamically equilibrates with rock at progressively lower temperatures. We demonstrate that this process of buoyancy-driven compaction coupled with local thermodynamic equilibration can yield large volumes of mobile granitic magma from basaltic and meta-basaltic (amphibolitic) protoliths over timescales ranging from similar to4000 years to similar to10 Myr. The thickness of basaltic magma required as a heat source ranges from similar to40 m to similar to3 km, which requires that the magma is emplaced over time as a series of sills, concurrent with melt segregation. These findings differ from those of previous studies, which have suggested that compaction operates too slowly to yield large volumes of segregated granitic melt.</t>
  </si>
  <si>
    <t>Univ London Imperial Coll Sci Technol &amp; Med, Dept Earth Sci &amp; Engn, London SW7 2BP, England; Univ Wyoming, Dept Geol &amp; Geophys, Laramie, WY 82071 USA; Univ Liverpool, Dept Earth Sci, Jane Herdman Labs, Liverpool L69 3BX, Merseyside, England</t>
  </si>
  <si>
    <t>Imperial College London; University of Wyoming; University of Liverpool</t>
  </si>
  <si>
    <t>Univ London Imperial Coll Sci Technol &amp; Med, Dept Earth Sci &amp; Engn, Royal Sch Mines Bldg, London SW7 2BP, England.</t>
  </si>
  <si>
    <t>mattjack@imperial.ac.uk; cheadle@uwyo.edu; m.atherton@liv.ac.uk</t>
  </si>
  <si>
    <t>Jackson, Matthew/N-5121-2014</t>
  </si>
  <si>
    <t>Jackson, Matthew/0000-0002-8276-3575</t>
  </si>
  <si>
    <t>B7</t>
  </si>
  <si>
    <t>10.1029/2001JB001050</t>
  </si>
  <si>
    <t>705YW</t>
  </si>
  <si>
    <t>WOS:000184425700001</t>
  </si>
  <si>
    <t>Nilsen, EB; Anderson, LD; Delaney, ML</t>
  </si>
  <si>
    <t>Paleoproductivity, nutrient burial, climate change and the carbon cycle in the western equatorial Atlantic across the Eocene/Oligocene boundary</t>
  </si>
  <si>
    <t>Eocene/Oligocene; Ceara Rise; phosphorus; silica; paleoproductivity; barium</t>
  </si>
  <si>
    <t>EOCENE-OLIGOCENE PALEOCEANOGRAPHY; MARINE-SEDIMENTS; ANTARCTIC OCEAN; SOUTH-ATLANTIC; HIGH PRODUCTIVITY; MIDDLE EOCENE; BIOGENIC OPAL; ODP LEG-113; MAUD-RISE; BARIUM</t>
  </si>
  <si>
    <t>[1] Paleoproductivity, nutrient burial, and carbon cycling were investigated across the Eocene/Oligocene (E/O) boundary (begin to end; 36.9-32.7 Ma at similar to40 kyr resolution, timescale of Shackleton et al. [1999]) at Ocean Drilling Program Site 925 on the Ceara Rise in the western equatorial Atlantic (3040 m present water depth; 748.26-850.70 mbsf). Downcore bulk sediment records of biogenic barium, total reactive phosphorus, biogenic silica, and calcium carbonate are interpreted to represent export production, net nutrient burial, biogenic opal production, and inorganic carbon burial, respectively. The global positive excursion in delta(13)C subsequent to the E/O boundary is recorded at Site 925. Export production appears to have been externally forced by orbital parameters at eccentricity frequencies during the study interval, based on spectral analysis of the biogenic barium and reactive phosphorus records. Biogenic silica production or preservation increased after the Eocene/Oligocene boundary to a higher baseline, although overall productivity and nutrient burial did not increase, based on barium and reactive phosphorus records. Thus, although absolute production did not increase at this site, a shift in relative abundance of siliceous versus carbonate productivity may have resulted in a change in relative organic carbon burial. This may have contributed to the positive excursion in global oceanic delta(13)C subsequent to the Eocene/Oligocene boundary, although the silica maximum persists after the carbon isotope excursion ends.</t>
  </si>
  <si>
    <t>Univ Calif Santa Cruz, Inst Marine Sci, Santa Cruz, CA 95064 USA</t>
  </si>
  <si>
    <t>University of California System; University of California Santa Cruz</t>
  </si>
  <si>
    <t>Univ Calif Santa Cruz, Inst Marine Sci, Santa Cruz, CA 95064 USA.</t>
  </si>
  <si>
    <t>nilsen@ucsc.edu; linda@ucsc.edu; delaney@ucsc.edu</t>
  </si>
  <si>
    <t>Nilsen, Elena/I-3579-2016</t>
  </si>
  <si>
    <t>Nilsen, Elena/0000-0002-0104-6321</t>
  </si>
  <si>
    <t>10.1029/2002PA000804</t>
  </si>
  <si>
    <t>705ZD</t>
  </si>
  <si>
    <t>WOS:000184426400003</t>
  </si>
  <si>
    <t>Paul, A; Schäfer-Neth, C</t>
  </si>
  <si>
    <t>Modeling the water masses of the Atlantic Ocean at the Last Glacial Maximum -: art. no. 1058</t>
  </si>
  <si>
    <t>GLAMAP 2000; ocean modeling; Atlantic Ocean; Last Glacial Maximum (LGM); ventilated thermocline; interocean exchange</t>
  </si>
  <si>
    <t>OXYGEN ISOTOPIC COMPOSITION; SEA-SURFACE TEMPERATURES; NORTH-ATLANTIC; THERMOHALINE CIRCULATION; PLANKTONIC-FORAMINIFERA; NORWEGIAN SEA; GLOBAL-MODEL; WEDDELL SEA; ICE; DEEP</t>
  </si>
  <si>
    <t>[1] We produced gridded monthly sea-surface boundary conditions for the Atlantic Ocean at the Last Glacial Maximum (LGM) based on the sea-surface temperature reconstruction of the GLAMAP project. We used an ocean general circulation model (OGCM), subject to these sea-surface boundary conditions and a corresponding wind stress field from an atmospheric general circulation model, to study the differences in the distribution of the main water masses between the LGM and the present. Our global OGCM is characterized by high vertical resolution, low vertical diffusion, and isopycnal mixing and hence allows for a realistic representation of the hydrology and circulation of the modern Atlantic Ocean. According to a series of LGM experiments with an increasing sea-surface salinity anomaly in the Weddell Sea, the ventilated thermocline was colder than today by 2-3degreesC in the North Atlantic Ocean and, in the experiment with the largest anomaly (1.0 beyond the global anomaly), by 4-5degreesC in the South Atlantic Ocean. Its depth was reduced by 50 m on average, most notably in the tropics. In the North Atlantic Ocean the outcrop locations of the thermocline isopycnal surfaces migrated southward by 5degrees-10degrees, and the ventilation increased. In the South Atlantic Ocean the mixed layer and thermocline water masses were dominated by cold water originating from Drake Passage, and the import of warm water from the Indian Ocean was reduced to about 4 Sv or 40% of its modern value. Antarctic Intermediate Water was colder by 3-4degreesC and could be traced as far as 10degreesN. The meridional overturning rates of North Atlantic Deep Water (NADW) and Antarctic Bottom Water (AABW) in the Atlantic Ocean were similar to those of the present-day experiment (9-10 Sv and 4 Sv, respectively). However, NADW cooled by 2.5degreesC and AABW by 1degreesC. AABW was near the freezing point of seawater at the surface and the saltiest water mass in the Atlantic Ocean, even saltier than NADW. We show that the differences between the LGM and the present-day experiments can be traced back to the changes in the subpolar and interhemispheric sea-surface density gradients.</t>
  </si>
  <si>
    <t>Univ Bremen, DFG Res Ctr Ocean Margins, Dept Geosci, D-28334 Bremen, Germany</t>
  </si>
  <si>
    <t>German Research Foundation (DFG); University of Bremen</t>
  </si>
  <si>
    <t>Univ Bremen, DFG Res Ctr Ocean Margins, Dept Geosci, POB 33 04 40, D-28334 Bremen, Germany.</t>
  </si>
  <si>
    <t>apau@palmod.uni-bremen.de; csn@uni-bremen.de</t>
  </si>
  <si>
    <t>10.1029/2002PA000783</t>
  </si>
  <si>
    <t>WOS:000184426400002</t>
  </si>
  <si>
    <t>Kates, RW; Parris, TM</t>
  </si>
  <si>
    <t>Long-term trends and a sustainability transition</t>
  </si>
  <si>
    <t>PROCEEDINGS OF THE NATIONAL ACADEMY OF SCIENCES OF THE UNITED STATES OF AMERICA</t>
  </si>
  <si>
    <t>ANTARCTIC STRATOSPHERE; EMISSIONS; APPROPRIATION; DESTRUCTION; GROWTH; ASIA</t>
  </si>
  <si>
    <t>How do long-term global trends affect a transition to sustainability? We emphasize the multitrend nature of 10 classes of trends, which makes them complex, contradictory, and often poorly understood. Each class includes trends that make a sustainability transition more feasible as well as trends that make it more difficult. Taken in their entirety, they serve as a checklist for the consideration of global trends that impact place-based sustainability studies.</t>
  </si>
  <si>
    <t>ISciences, LLC, Jamaica Plain, MA 02130 USA</t>
  </si>
  <si>
    <t>33 Popple Point, Trenton, ME 04605 USA.</t>
  </si>
  <si>
    <t>rkates@acadia.net</t>
  </si>
  <si>
    <t>NATL ACAD SCIENCES</t>
  </si>
  <si>
    <t>2101 CONSTITUTION AVE NW, WASHINGTON, DC 20418 USA</t>
  </si>
  <si>
    <t>0027-8424</t>
  </si>
  <si>
    <t>P NATL ACAD SCI USA</t>
  </si>
  <si>
    <t>Proc. Natl. Acad. Sci. U. S. A.</t>
  </si>
  <si>
    <t>JUL 8</t>
  </si>
  <si>
    <t>10.1073/pnas.1231331100</t>
  </si>
  <si>
    <t>Science Citation Index Expanded (SCI-EXPANDED); Social Science Citation Index (SSCI)</t>
  </si>
  <si>
    <t>702KF</t>
  </si>
  <si>
    <t>WOS:000184222500007</t>
  </si>
  <si>
    <t>Lubin, D; Lynch, S; Clarke, R; Morrow, E; Hart, S</t>
  </si>
  <si>
    <t>Increasing reflectivity of the Antarctic ocean-atmosphere system: Analysis of Total Ozone Mapping Spectrometer (TOMS) and passive microwave data for 1979-1994</t>
  </si>
  <si>
    <t>Antarctica; reflectivity; trends; Total Ozone Mapping Spectrometer; passive microwave; sea ice</t>
  </si>
  <si>
    <t>SEA-ICE; SOUTHERN-OCEAN; CLIMATE-CHANGE; ARCTIC-OCEAN; SNOW; SURFACE; CLOUD; CLASSIFICATION; IMAGERY; ALBEDO</t>
  </si>
  <si>
    <t>Measurements of Lambert equivalent reflectance at 380 nm from the Total Ozone Mapping Spectrometer (TOMS) instrument have shown increases in reflectivity between 1979 and 1994 over much of the Southern Ocean, encompassing 280degrees in longitude. These trends represent a possible change in the state of the Antarctic ocean-atmosphere system related to recent climate warming. To determine if these reflectivity trends are due to changes in cloud cover or sea ice, or both, the TOMS data were collocated with a contemporaneous passive microwave satellite data set from the scanning multichannel microwave radiometer and the Special Sensor Microwave Imager. The passive microwave data sets specify total sea ice concentration, retrieved by a uniform method for all years using the NASA Team algorithm. To first order the locations of TOMS reflectivity increases coincide with regions where sea ice concentration has increased over the past 2 decades, signifying that the TOMS trends are the result of trends in underlying sea ice and not cloud cover. However, when the TOMS reflectivity measurements are sorted into fixed sea ice concentration bins of 0.1 width, the TOMS data also show increasing reflectivity trends in regions where sea ice extent has been decreasing (Amundsen and Bellingshausen Seas and the Western Antarctic Peninsula). Over open water, TOMS reflectivity trends are less convincing and may be artifacts related to uncertainties in passive microwave sea ice identification. These results suggest that a significant component of the Southern Ocean TOMS reflectivity trends may be a gradual increase in the albedo of the underlying sea ice. This could be caused by a gradual lengthening of the sea ice season, with a concomitant increase in the persistence of dry snow on the sea ice cover.</t>
  </si>
  <si>
    <t>Lubin, D (corresponding author), Univ Calif San Diego, Scripps Inst Oceanog, La Jolla, CA 92093 USA.</t>
  </si>
  <si>
    <t>dlubin@ucsd.edu</t>
  </si>
  <si>
    <t>JUL 2</t>
  </si>
  <si>
    <t>D13</t>
  </si>
  <si>
    <t>10.1029/2002JD002702</t>
  </si>
  <si>
    <t>698MJ</t>
  </si>
  <si>
    <t>WOS:000184003100002</t>
  </si>
  <si>
    <t>Ganachaud, A</t>
  </si>
  <si>
    <t>Large-scale mass transports, water mass formation, and diffusivities estimated from World Ocean Circulation Experiment (WOCE) hydrographic data</t>
  </si>
  <si>
    <t>transports; diffusivities; climate; Circumpolar Deep Water (CDW); WOCE; hydrographic</t>
  </si>
  <si>
    <t>ANTARCTIC BOTTOM WATER; WESTERN-BOUNDARY CURRENT; 43 DEGREES S; DEEP-WATER; ATLANTIC-OCEAN; HEAT-TRANSPORT; INDIAN-OCEAN; THERMOHALINE CIRCULATION; GENERAL-CIRCULATION; SPATIAL VARIABILITY</t>
  </si>
  <si>
    <t>A global inversion is used to estimate the oceanic mass transports and vertical diffusivities based on a subset of hydrographic data from the World Ocean Circulation Experiment (WOCE) and Java Australia Dynamic Experiment. The analysis is based on the linear inverse box'' model of Ganachaud and Wunsch [2000] that consistently combines the transoceanic sections. A globally consistent solution is obtained for a depth-independent adjustment to the thermal wind field, the freshwater flux divergences, the Ekman transport, and the advective and diffusive dianeutral fluxes between layers. A detailed error budget permits calculation of statistical uncertainties, taking into account both the nonresolved part of the solution and the systematic errors due to the temporal oceanic variability. The horizontal structure of the transports for different density classes is analyzed regionally. During the WOCE period (1985-1996), net meridional transports are estimated, with 16+/-2 Sv (10(6) m(3)/s) of North Atlantic Deep Water (NADW) being produced in the northern North Atlantic, moving southward, entraining Antarctic Bottom Water (AABW), and Antarctic Intermediate Water increasing in volume transport to 23+/-3 Sv at 30degreesS. In the Southern Ocean, 21+/-6 Sv of bottom water was formed from lower Circumpolar Deep Water, which corresponds approximately to the lower NADW density range. Bottom water inflows (NADW+AABW mixture) to the Atlantic, Indian, and Pacific Oceans are estimated at 6+/-1.3, 11+/-4, and 7+/-2 Sv, respectively. In the Indian and Pacific Oceans this water returns southward at deep and intermediate levels. Property anomaly conservation constraints permit estimation of dianeutral diffusivities in deep layers, with a global average of 3.7+/-0.7 cm(2) s(-1) north of 30degreesS.</t>
  </si>
  <si>
    <t>Inst Rech Dev, Lab Etud Geophys &amp; Oceautog Spatiale, Noumea, New Caledonia</t>
  </si>
  <si>
    <t>Institut de Recherche pour le Developpement (IRD)</t>
  </si>
  <si>
    <t>Inst Rech Dev, Lab Etud Geophys &amp; Oceautog Spatiale, BP A5, Noumea, New Caledonia.</t>
  </si>
  <si>
    <t>Alexandre.Ganachaud@noumea.ird.fr</t>
  </si>
  <si>
    <t>Ganachaud, Alexandre/B-7556-2013</t>
  </si>
  <si>
    <t>Ganachaud, Alexandre/0000-0002-9709-1396</t>
  </si>
  <si>
    <t>10.1029/2002JC001565</t>
  </si>
  <si>
    <t>698MY</t>
  </si>
  <si>
    <t>WOS:000184004400004</t>
  </si>
  <si>
    <t>Massom, RA; Jacka, K; Pook, MJ; Fowler, C; Adams, N; Bindoff, N</t>
  </si>
  <si>
    <t>An anomalous late-season change in the regional sea ice regime in the vicinity of the Mertz Glacier Polynya, East Antarctica</t>
  </si>
  <si>
    <t>Antarctic; sea ice; drift; anomaly; atmospheric circulation; polynya</t>
  </si>
  <si>
    <t>METEOROLOGYS GLOBAL ASSIMILATION; PREDICTION SYSTEM; CIRCUMPOLAR WAVE; CIRCULATION; SATELLITE; BLOCKING; OCEAN; CLIMATOLOGY; EVOLUTION; PRESSURE</t>
  </si>
  <si>
    <t>This paper examines a major late-season shift in atmospheric circulation over the East Antarctic sea ice zone that occurred in October 1999. The mean wind direction at 65degreesS, 145degreesE changed from south-southeasterly to west-southwesterly, resulting in almost a complete reversal of the climatological East Wind Drift pattern in large-scale sea ice advection over the Southern Ocean sector 135degrees-170degreesE. By comparison with National Centers for Environmental Prediction/National Center for Atmospheric Research Reanalysis time series from 1980 to 2000, this shift is shown to be unusual in terms of both its persistence and impact, although similar though less prolonged patterns occurred in 1984 and 1985. Lasting from October 1999 to February 2000, it had a profound impact on sea ice concentration and extent over a vast area. By coinciding with the period of maximum ice extent and persisting through to the springtime melt phase, it also contributed to the rapid annual meltback of sea ice. It also had a large and complex effect on the behavior of the globally important Mertz Glacier Polynya and on the areal extent of thick perennial sea ice to the east. While a midlatitude blocking high pattern provided the initial impetus for the shift'' in 1999, the persistence of west-southwesterly winds through February 2000 appears to relate to an unusually persistent southward migration of the Antarctic Circumpolar Trough (ACT). In addition to the prolonged 1999 episode, a strong seasonal signal is apparent throughout the mean wind speed and direction time series, related to the ACT migration. Although less persistent than in 1999, this annual shift has implications for the observed dramatic annual meltback of East Antarctic sea ice.</t>
  </si>
  <si>
    <t>Care of Univ Tasmania, Antarctic CRC, Hobart, Tas 7001, Australia; Australian Bur Meteorol, Hobart, Tas 7001, Australia; Univ Colorado, Colorado Ctr Astrodynam Res, Boulder, CO 80309 USA</t>
  </si>
  <si>
    <t>University of Tasmania; Bureau of Meteorology - Australia; University of Colorado System; University of Colorado Boulder</t>
  </si>
  <si>
    <t>Massom, RA (corresponding author), Care of Univ Tasmania, Antarctic CRC, Private Bag 80, Hobart, Tas 7001, Australia.</t>
  </si>
  <si>
    <t>r.massom@utas.edu.au</t>
  </si>
  <si>
    <t>Bindoff, Nathaniel Lee/C-8050-2011; Pook, Michael J/A-3810-2012; Bindoff, Nathaniel Lee/IVV-0333-2023</t>
  </si>
  <si>
    <t>Bindoff, Nathaniel Lee/0000-0001-5662-9519; Bindoff, Nathaniel Lee/0000-0001-5662-9519; Massom, Robert/0000-0003-1533-5084</t>
  </si>
  <si>
    <t>10.1029/2002JC001354</t>
  </si>
  <si>
    <t>Green Published, Green Accepted, Bronze</t>
  </si>
  <si>
    <t>WOS:000184004400003</t>
  </si>
  <si>
    <t>Violot, S; Haser, R; Sonan, G; Georlette, D; Feller, G; Aghajari, N</t>
  </si>
  <si>
    <t>Expression, purification, crystallization and preliminary X-ray crystallographic studies of a psychrophilic cellulase from Pseudoalteromonas haloplanktis</t>
  </si>
  <si>
    <t>ACTA CRYSTALLOGRAPHICA SECTION D-STRUCTURAL BIOLOGY</t>
  </si>
  <si>
    <t>EGZ</t>
  </si>
  <si>
    <t>The Antarctic psychrophile Pseudoalteromonas haloplanktis produces a cold-active cellulase. To date, a three-dimensional structure of a psychrophilic cellulase has been lacking. Crystallographic studies of this cold-adapted enzyme have therefore been initiated in order to contribute to the understanding of the molecular basis of the cold adaptation and the high catalytic efficiency of the enzyme at low and moderate temperatures. The catalytic core domain of the psychrophilic cellulase CelG from P. haloplanktis has been expressed, purified and crystallized and a complete diffraction data set to 1.8 Angstrom has been collected. The space group was found to be P2(1)2(1)2(1), with unit-cell parameters a = 135.1, b = 78.4, c = 44.1 Angstrom. A molecular-replacement solution, using the structure of the mesophilic counterpart Cel5A from Erwinia chrysanthemi as a search model, has been found.</t>
  </si>
  <si>
    <t>CNRS, Inst Biol &amp; Chim Prot, Lab Biocristallog, F-69367 Lyon 07, France; Univ Lyon 1, UMR 5086, F-69367 Lyon 07, France; Univ Liege, Inst Chim B6, Biochim Lab, B-4000 Liege, Sart Tilman, Belgium</t>
  </si>
  <si>
    <t>Centre National de la Recherche Scientifique (CNRS); Universite Claude Bernard Lyon 1; Universite Claude Bernard Lyon 1; Centre National de la Recherche Scientifique (CNRS); CNRS - National Institute for Biology (INSB); University of Liege</t>
  </si>
  <si>
    <t>CNRS, Inst Biol &amp; Chim Prot, Lab Biocristallog, F-69367 Lyon 07, France.</t>
  </si>
  <si>
    <t>r.haser@ibcp.fr</t>
  </si>
  <si>
    <t>VIOLOT, Sebastien/AAU-8161-2021; Aghajari, Nushin/P-1906-2016</t>
  </si>
  <si>
    <t>VIOLOT, Sebastien/0000-0001-7749-9207; Aghajari, Nushin/0000-0002-2245-2679</t>
  </si>
  <si>
    <t>INT UNION CRYSTALLOGRAPHY</t>
  </si>
  <si>
    <t>CHESTER</t>
  </si>
  <si>
    <t>2 ABBEY SQ, CHESTER, CH1 2HU, ENGLAND</t>
  </si>
  <si>
    <t>2059-7983</t>
  </si>
  <si>
    <t>ACTA CRYSTALLOGR D</t>
  </si>
  <si>
    <t>Acta Crystallogr. Sect. D-Struct. Biol.</t>
  </si>
  <si>
    <t>JUL</t>
  </si>
  <si>
    <t>10.1107/S0907444903008849</t>
  </si>
  <si>
    <t>Biochemical Research Methods; Biochemistry &amp; Molecular Biology; Biophysics; Crystallography</t>
  </si>
  <si>
    <t>Biochemistry &amp; Molecular Biology; Biophysics; Crystallography</t>
  </si>
  <si>
    <t>695AX</t>
  </si>
  <si>
    <t>WOS:000183809900025</t>
  </si>
  <si>
    <t>Pinnock, M; Chisham, G; Coleman, IJ; Freeman, MP; Hairston, M; Villain, JP</t>
  </si>
  <si>
    <t>The location and rate of dayside reconnection during an interval of southward interplanetary magnetic field</t>
  </si>
  <si>
    <t>magnetospheric physics; magnetopause, cusp and boundary layers; magnetosphere-ionoshere interactions; space plasma physics; magnetic reconnection</t>
  </si>
  <si>
    <t>HIGH-LATITUDE CONVECTION; HF-RADAR OBSERVATIONS; FLUX-TRANSFER EVENTS; SMALL-SCALE IRREGULARITIES; BOUNDARY-LAYER CAMPAIGN; CAP POTENTIAL DROP; IONOSPHERIC CONVECTION; SOLAR-WIND; ELECTRIC-FIELD; F-REGION</t>
  </si>
  <si>
    <t>Using ionospheric data from the SuperDARN radar network and a DMSP satellite we obtain a comprehensive description of the spatial and temporal pattern of dayside reconnection. During a period of southward interplanetary magnetic field (IMF), the data are used to determine the location of the ionospheric projection of the dayside magnetopause reconnection X-line. From the flow of plasma across the projected X-line, we derive the reconnection rate across 7 h of longitude and estimate it for the total length of the X-line footprint, which was found to be 10 h of longitude. Using the Tsyganenko 96 magnetic field model, the ionospheric data are mapped to the magnetopause, in order to provide an estimate of the extent of the reconnection X-line. This is found to be similar to38 R(E)in extent, spanning the whole dayside magnetopause from dawn to dusk flank. Our results are compared with previously reported encounters by the Equator-S and Geotail spacecraft with a reconnecting magnetopause, near the dawn flank, for the same period. The SuperDARN observations allow the satellite data to be set in the context of the whole magnetopause reconnection X-line. The total potential associated with dayside reconnection was similar to150 kV The reconnection signatures detected by the Equator-S satellite mapped to a region in the ionosphere showing continuous flow across the polar cap boundary, but the reconnection rate was variable and showed a clear spatial variation, with a distinct minimum at 14:00 magnetic local time which was present throughout the 30-min study period.</t>
  </si>
  <si>
    <t>British Antarctic Survey, Nat Environm Res Council, Cambridge CB3 0ET, England; Univ Texas, Ctr Space Sci, Richardson, TX 75083 USA; CNRS, LPCE, F-45071 Orleans, France</t>
  </si>
  <si>
    <t>UK Research &amp; Innovation (UKRI); Natural Environment Research Council (NERC); NERC British Antarctic Survey; University of Texas System; University of Texas Dallas; Centre National de la Recherche Scientifique (CNRS)</t>
  </si>
  <si>
    <t>Pinnock, M (corresponding author), British Antarctic Survey, Nat Environm Res Council, Madingley Rd, Cambridge CB3 0ET, England.</t>
  </si>
  <si>
    <t>M.Pinnock@bas.ac.uk</t>
  </si>
  <si>
    <t>; Freeman, Mervyn/E-5687-2019</t>
  </si>
  <si>
    <t>Hairston, Marc/0000-0003-4524-4837; Freeman, Mervyn/0000-0002-8653-8279</t>
  </si>
  <si>
    <t>10.5194/angeo-21-1467-2003</t>
  </si>
  <si>
    <t>775NE</t>
  </si>
  <si>
    <t>Green Submitted, gold, Green Accepted</t>
  </si>
  <si>
    <t>WOS:000189046900006</t>
  </si>
  <si>
    <t>King, GM</t>
  </si>
  <si>
    <t>Contributions of atmospheric CO and hydrogen uptake to microbial dynamics on recent Hawaiian volcanic deposits</t>
  </si>
  <si>
    <t>HEATED ANTARCTIC SOIL; CARBON-MONOXIDE; ORGANIC-MATTER; LAVA FLOWS; ECOSYSTEM DEVELOPMENT; STEREOCAULON VULCANI; NITROGEN-FIXATION; GROWTH; CONSUMPTION; BACTERIA</t>
  </si>
  <si>
    <t>A series of sites were established on Hawaiian volcanic deposits ranging from about 18 to 300 years old. Three sites occurred in areas that supported tropical rain forests; the remaining sites were in areas that supported little or no plant growth. Sites &gt;26 years old consumed atmospheric CO and hydrogen at rates ranging from about 0.2 to 5 mg of CO m(-2) day(-1) and 0.1 to 4 mg of H-2 m(-2) day(-1), respectively. Respiration, measured as CO, production, for a subset of the sites ranged from about 40 to &gt;1,400 mg of CO2 m(-2) day(-1). CO and H2 accounted for about 13 to 25% of reducing equivalent flow for all but a forested site, where neither substrate appeared significant. Based on responses to chloroform fumigation, hydrogen utilization appeared largely due to microbial uptake. In contrast to results for CO and hydrogen, methane uptake occurred consistently only at the forest site. Increasing deposit age was generally accompanied by increasing concentrations of organic matter and microbial biomass, measured as phospholipid phosphate. Exoenzymatic activities (acid and alkaline phosphatases and alpha- and beta-glucosidases) were positively correlated with deposit age in spite of considerable variability within sites. The diversity of substrates utilized in Biolog Ecoplate assays also increased with deposit age, possibly reflecting changes in microbial community complexity.</t>
  </si>
  <si>
    <t>Univ Maine, Darling Marine Ctr, Walpole, ME 04573 USA</t>
  </si>
  <si>
    <t>University of Maine System; University of Maine Orono</t>
  </si>
  <si>
    <t>King, GM (corresponding author), Univ Maine, Darling Marine Ctr, Walpole, ME 04573 USA.</t>
  </si>
  <si>
    <t>King, Gary/0000-0001-7325-7710</t>
  </si>
  <si>
    <t>10.1128/AEM.69.7.4067-4075.2003</t>
  </si>
  <si>
    <t>699XM</t>
  </si>
  <si>
    <t>WOS:000184082100051</t>
  </si>
  <si>
    <t>Hewitt, RP; Demer, DA; Emery, JH</t>
  </si>
  <si>
    <t>An 8-year cycle in krill biomass density inferred from acoustic surveys conducted in the vicinity of the South Shetland Islands during the austral summers of 1991-1992 through 2001-2002</t>
  </si>
  <si>
    <t>AQUATIC LIVING RESOURCES</t>
  </si>
  <si>
    <t>ICES Symposium on Acoustics in Fisheries and Aquatic Ecology</t>
  </si>
  <si>
    <t>JUN 10-14, 2002</t>
  </si>
  <si>
    <t>MONTPELLIER, FRANCE</t>
  </si>
  <si>
    <t>krill; Antarctica; South Shetland Islands</t>
  </si>
  <si>
    <t>ANTARCTIC KRILL; EUPHAUSIA-SUPERBA; ELEPHANT-ISLAND; MANAGING FISHERIES; RECRUITMENT; VARIABILITY; ABUNDANCE; GEORGIA; CONSERVATION; DISPERSION</t>
  </si>
  <si>
    <t>Data from single and multi-frequency active acoustic surveys conducted annually in the vicinity of the South Shetland Islands, Antarctica were re-analyzed using updated procedures for delineating volume backscattering due to Antarctic krill, adjusting for signal contamination due to noise, and compensating for diel vertical migration of krill outside of the acoustic observation window. Intra-and inter-seasonal variations in krill biomass density and dispersion were derived from the re-processed data set for surveys conducted in the austral summers of 1991/1992 through 2001/2002. Estimated biomass density ranged from I to 60 g m(-2), decreasing from mid-range levels in 1991/1992 to a minimum in 1992/1993-1993/1994, increasing to a peak in 1996/1997-1997/1998, and decreasing again through 2000/2001-2001/2002. Although this variability may be attributed to changes in the spatial distribution of krill relative to the survey area, comparisons with the proportion of juvenile krill in simultaneous net samples suggest that the changes in biomass density are consistent with apparent changes in reproductive success. A truncated Fourier series fit to the biomass density time series is dominated by an 8-year cycle and predicts all increase in krill biomass density in 2002/2003 and 2003/2004. This prediction is supported by an apparent association between cycles in the extent of sea ice cover and per-capita krill recruitment over the last 23 years and indications that ice cover in the winter of 2002 is seasonally early and extensive. (C) 2003 Editions scientifiques et medicales Elsevier SAS and Ifremer/IRD/Inra/Cemagref. All rights reserved.</t>
  </si>
  <si>
    <t>SW Fisheries Sci Ctr, Antarctic Ecosyst Res Div, La Jolla, CA 92037 USA</t>
  </si>
  <si>
    <t>National Oceanic Atmospheric Admin (NOAA) - USA</t>
  </si>
  <si>
    <t>Hewitt, RP (corresponding author), SW Fisheries Sci Ctr, Antarctic Ecosyst Res Div, 8604 La Jolla Dr, La Jolla, CA 92037 USA.</t>
  </si>
  <si>
    <t>, David/ABC-8990-2022</t>
  </si>
  <si>
    <t>, David/0000-0001-5083-8854</t>
  </si>
  <si>
    <t>GAUTHIER-VILLARS/EDITIONS ELSEVIER</t>
  </si>
  <si>
    <t>PARIS</t>
  </si>
  <si>
    <t>23 RUE LINOIS, 75015 PARIS, FRANCE</t>
  </si>
  <si>
    <t>0990-7440</t>
  </si>
  <si>
    <t>AQUAT LIVING RESOUR</t>
  </si>
  <si>
    <t>Aquat. Living Resour.</t>
  </si>
  <si>
    <t>10.1016/S0990-7440(03)00019-6</t>
  </si>
  <si>
    <t>Fisheries; Marine &amp; Freshwater Biology</t>
  </si>
  <si>
    <t>718HQ</t>
  </si>
  <si>
    <t>WOS:000185139400014</t>
  </si>
  <si>
    <t>Aristidi, E; Agabi, A; Vernin, J; Azouit, M; Martin, F; Ziad, A; Fossat, E</t>
  </si>
  <si>
    <t>Antarctic site testing: First daytime seeing monitoring at Dome C</t>
  </si>
  <si>
    <t>ASTRONOMY &amp; ASTROPHYSICS</t>
  </si>
  <si>
    <t>site testing</t>
  </si>
  <si>
    <t>DIFFERENTIAL IMAGE MOTION</t>
  </si>
  <si>
    <t>The first astronomical seeing monitoring has been made with a DIMM instrument at the Antarctic plateau site of Dome C in December, 2002 on the bright star Canopus (alpha Eri) during the daytime. In these far from optimal conditions, a median seeing value of 1.20 arcsec as been obtained, with extended periods better than 1 arcsec and 12 percent of the time better than 0.75 arcsec.</t>
  </si>
  <si>
    <t>Univ Nice, Lab Univ Astrophys Nice, F-06108 Nice 2, France</t>
  </si>
  <si>
    <t>Universite Cote d'Azur</t>
  </si>
  <si>
    <t>Aristidi, E (corresponding author), Univ Nice, Lab Univ Astrophys Nice, Parc Valrose, F-06108 Nice 2, France.</t>
  </si>
  <si>
    <t>Aristidi, Eric/0000-0001-9886-7670; Vernin, Jean/0000-0002-8956-8844</t>
  </si>
  <si>
    <t>E D P SCIENCES</t>
  </si>
  <si>
    <t>LES ULIS CEDEXA</t>
  </si>
  <si>
    <t>7, AVE DU HOGGAR, PARC D ACTIVITES COURTABOEUF, BP 112, F-91944 LES ULIS CEDEXA, FRANCE</t>
  </si>
  <si>
    <t>0004-6361</t>
  </si>
  <si>
    <t>ASTRON ASTROPHYS</t>
  </si>
  <si>
    <t>Astron. Astrophys.</t>
  </si>
  <si>
    <t>L19</t>
  </si>
  <si>
    <t>L22</t>
  </si>
  <si>
    <t>10.1051/0004-6361:20030836</t>
  </si>
  <si>
    <t>700EJ</t>
  </si>
  <si>
    <t>WOS:000184099400005</t>
  </si>
  <si>
    <t>Aerial dispersal and survival of sewage-derived faecal coliforms in Antarctica</t>
  </si>
  <si>
    <t>ATMOSPHERIC ENVIRONMENT</t>
  </si>
  <si>
    <t>antarctica; sewage; relative humidity; solar radiation; pollution</t>
  </si>
  <si>
    <t>ENTERIC BACTERIA; RELATIVE HUMIDITY; ESCHERICHIA COLI; RESEARCH STATION; MCMURDO-STATION; TREATMENT-PLANT; WASTE-WATER; INACTIVATION; VIABILITY; POLLUTION</t>
  </si>
  <si>
    <t>This study demonstrates for the first time that faecal coliform bacteria can survive airborne transfer in Antarctica, but are unlikely to survive for prolonged periods following deposition due to environmental stresses. The dispersal and survival of airborne faecal coliform bacteria from the sewage outfall at Rothera Research Station (Adelaide Island, Antarctic Peninsula) was examined. Northerly winds created the potential for sewage aerosols to be blown the 150 m from the outfall to the research station. During moderate wind velocities (similar to15 m s(-1)), faecal coliform bacteria were detected up to 175 m downwind of the outfall amongst the station buildings. However, moderate doses of solar UV radiation (similar to20 W m(-2)) were capable of reduced the number of viable wind-deposited bacteria by up to 99.9%, compared with periods of low solar UN radiation (similar to1 W m(-2)). Further experiments showed that, within I h of deposition, desiccation stress and solar radiation independently reduced coliform viability by up to 99.8% and 99.98%, respectively. These results imply that airborne faecal coliforms are unlikely to survive for prolonged periods following deposition or cause infection of local wildlife or human populations, though this may not be the case for more stress-resistant microorganisms. (C) 2003 Elsevier Science Ltd. All rights reserved.</t>
  </si>
  <si>
    <t>British Antarctic Survey, Natl Environm Res Council, Cambridge CB3 0ET, England</t>
  </si>
  <si>
    <t>British Antarctic Survey, Natl Environm Res Council, High Cross,Madingley Rd, Cambridge CB3 0ET, England.</t>
  </si>
  <si>
    <t>1352-2310</t>
  </si>
  <si>
    <t>1873-2844</t>
  </si>
  <si>
    <t>ATMOS ENVIRON</t>
  </si>
  <si>
    <t>Atmos. Environ.</t>
  </si>
  <si>
    <t>10.1016/S1352-2310(03)00207-3</t>
  </si>
  <si>
    <t>701JT</t>
  </si>
  <si>
    <t>WOS:000184165000012</t>
  </si>
  <si>
    <t>Marrero, J; Arisnabarreta, SP; Smichowski, P</t>
  </si>
  <si>
    <t>Comparison of effects of four acid oxidant mixtures in the determination of lead in foods and beverages by hydride generation-ICP-OES</t>
  </si>
  <si>
    <t>ATOMIC SPECTROSCOPY</t>
  </si>
  <si>
    <t>7th Rio Symposium on Atomic Spectrometry</t>
  </si>
  <si>
    <t>APR 07-12, 2002</t>
  </si>
  <si>
    <t>FLORIANOPOLIS, BRAZIL</t>
  </si>
  <si>
    <t>ATOMIC-ABSORPTION SPECTROMETRY; ENVIRONMENTAL MATRICES; EMISSION-SPECTROMETRY; BIOLOGICAL SAMPLES; HYDROGEN-PEROXIDE; DICHROMATE; PEROXODISULFATE; COMBINATION; ENHANCEMENT; GERMANIUM</t>
  </si>
  <si>
    <t>A comparative study was undertaken to evaluate the effects of acetic, citric, nitric, and tartaric acids on the continuous hydride generation of lead using ammonium persulfate as oxidant agent. Inductively coupled plasma optical emission spectrometry (ICP-OES) was used for detection. The operating conditions (chemical and physical parameters) and the concentrations of the acids studied were optimized for the generation of PbH4 (plumbane). Analytical figures of merit including detection limit, precision, and linear dynamic range are given for the four systems employed. The detection limits for Pb ranged between 4.4 and 6.8 mug L-1 depending on the acid used to generate plumbane. Compared to conventional continuous nebulization on a radial ICP, the present coupling gives a sensitivity increase of a factor of approximately two orders of magnitude. The interferent effect of transition metals (Al, Cd, Co, Cu, Cr, Fe, Mn, Mo, Ni, V, and Zn), other hydride-forming elements (As, Bi, Ge, Sb, Se, Sn, and Te,) and Hg upon the Pb signal using the different acids studied were evaluated. Nickel, Se, and Te are the elements that more severely affect plumbane generation in the four systems tested. Plumbane was produced with 85% efficiency in tartaric acid; also a better control of interferences was observed. Method validation was achieved using two certified reference materials, MURST-ISS-A2 (Antarctic Krill) and CRM 063R (Skim Milk Powder), for which reasonable agreement between certified and measured values for lead content was obtained. The proposed method was applied to the determination of Pb at mug g(-1) and mug L-1 levels in foods and beverages, respectively. The determination of Pb in these kinds of samples is of high toxicological relevance.</t>
  </si>
  <si>
    <t>Comis Nacl Energia Atom, Ctr Atom Constituyentes, Unidad Actividad Quim, Buenos Aires, DF, Argentina; Comis Nacl Energia Atom, Unidad Proyectos Especiales Suministros Nucl, Buenos Aires, DF, Argentina</t>
  </si>
  <si>
    <t>Comision Nacional de Energia Atomica (CNEA); Comision Nacional de Energia Atomica (CNEA)</t>
  </si>
  <si>
    <t>Comis Nacl Energia Atom, Ctr Atom Constituyentes, Unidad Actividad Quim, Av Gral Paz 1499,B1650KNA, Buenos Aires, DF, Argentina.</t>
  </si>
  <si>
    <t>smichows@cnea.gov.ar</t>
  </si>
  <si>
    <t>ATOMIC SPECTROSCOPY PRESS LTD</t>
  </si>
  <si>
    <t>KWAI CHUNG</t>
  </si>
  <si>
    <t>FLAT H29, 1-F, PHASE 2 KWAI SHING IND BLDG, NO 42-46 TAI LIN PAI RD, KWAI CHUNG, KWAI TSING, HONG KONG</t>
  </si>
  <si>
    <t>0195-5373</t>
  </si>
  <si>
    <t>2708-521X</t>
  </si>
  <si>
    <t>ATOM SPECTROSC</t>
  </si>
  <si>
    <t>Atom. Spectrosc.</t>
  </si>
  <si>
    <t>JUL-AUG</t>
  </si>
  <si>
    <t>717CE</t>
  </si>
  <si>
    <t>WOS:000185067400004</t>
  </si>
  <si>
    <t>Bonadonna, F; Hesters, F; Jouventin, P</t>
  </si>
  <si>
    <t>Scent of a nest:: discrimination of own-nest odours in Antarctic prions, Pachyptila desolata</t>
  </si>
  <si>
    <t>BEHAVIORAL ECOLOGY AND SOCIOBIOLOGY</t>
  </si>
  <si>
    <t>homing; odour discrimination; olfaction; petrels</t>
  </si>
  <si>
    <t>SHEARWATERS PUFFINUS-PUFFINUS; PROCELLARIIFORM SEABIRDS; LEACHS PETREL; STORM-PETREL; OLFACTION; LOCATION; BURROW; BIRDS; RECOGNITION; BEHAVIOR</t>
  </si>
  <si>
    <t>Petrels and albatrosses evolved well-developed olfactory anatomical structures comparable to those of mammals. To date it has been demonstrated that petrels are attracted by food-related odours, and that some hypogean species have decreased homing performances if anosmic. The ability to distinguish between familiar and unfamiliar odours had not been demonstrated. Here we show that the Antarctic prion, Pachyptila desolata, is able to distinguish between its own nest and that of a conspecific, relying on olfactory cues only. When tested in a maze, only prions with an intact sense of smell made a choice and recognized their own burrow whereas anosmic birds did not. In the absence of leading odours in the maze prions behaved similarly to anosmic birds. These results suggest the mechanism used in the short-range homing process of this species as an olfactory beaconing and suggest the skill of recognising individually distinctive odours. Evolving an efficient identification system in the dark allowed these hypogean petrels to return to their colony at night and recognise their own burrow without singing. This behaviour protects them from predation by skuas, Catharacta skua lonnbergi, that hunt petrels by vision and hearing.</t>
  </si>
  <si>
    <t>CNRS, Ctr Ecol Fonct &amp; Evolut, Behav Ecol Grp, F-34293 Montpellier, France</t>
  </si>
  <si>
    <t>Universite PSL; Ecole Pratique des Hautes Etudes (EPHE); Institut Agro; Montpellier SupAgro; CIRAD; Centre National de la Recherche Scientifique (CNRS); Institut de Recherche pour le Developpement (IRD); Universite Paul-Valery; Universite de Montpellier</t>
  </si>
  <si>
    <t>Bonadonna, F (corresponding author), CNRS, Ctr Ecol Fonct &amp; Evolut, Behav Ecol Grp, 1919 Route Mende, F-34293 Montpellier, France.</t>
  </si>
  <si>
    <t>Bonadonna, Francesco/A-7456-2008</t>
  </si>
  <si>
    <t>Bonadonna, Francesco/0000-0002-2702-5801</t>
  </si>
  <si>
    <t>0340-5443</t>
  </si>
  <si>
    <t>BEHAV ECOL SOCIOBIOL</t>
  </si>
  <si>
    <t>Behav. Ecol. Sociobiol.</t>
  </si>
  <si>
    <t>10.1007/s00265-003-0610-7</t>
  </si>
  <si>
    <t>Behavioral Sciences; Ecology; Zoology</t>
  </si>
  <si>
    <t>Behavioral Sciences; Environmental Sciences &amp; Ecology; Zoology</t>
  </si>
  <si>
    <t>707YQ</t>
  </si>
  <si>
    <t>WOS:000184537900012</t>
  </si>
  <si>
    <t>Turkiewicz, M; Kur, J; Bialkowska, A; Cieslinski, H; Kalinowska, H; Bielecki, S</t>
  </si>
  <si>
    <t>Antarctic marine bacterium Pseudoalteromonas sp 22b as a source of cold-adapted β-galactosidase</t>
  </si>
  <si>
    <t>BIOMOLECULAR ENGINEERING</t>
  </si>
  <si>
    <t>International Symposium on Marine Biotechnology</t>
  </si>
  <si>
    <t>FEB 25-MAR 01, 2003</t>
  </si>
  <si>
    <t>ALMONTE, SPAIN</t>
  </si>
  <si>
    <t>cold-adapted beta-galactosidase; Pseudoalteromonas sp.; lactose hydrolysis</t>
  </si>
  <si>
    <t>ESCHERICHIA-COLI; PURIFICATION; ENZYMES</t>
  </si>
  <si>
    <t>The marine, psychrotolerant, rod-shaped and Gram-negative bacterium 22b (the best of 41 P-galactosidase producers out of 107 Antarctic strains subjected to screening), classified as Pseudoalteromonas sp. based on 16S rRNA gene sequence, isolated from the alimentary tract of Antarctic krill Thyssanoessa macrura, synthesizes an intracellular cold-adapted P-galactosidase, which efficiently hydrolyzes lactose at 0-20 degreesC, as indicated by its specific activity of 21-67 U mg(-1) of protein (11-35% of maximum activity) in this temperature range, as well as k(cat) of 157 s(-1), and k(cat)/K-m of 47.5 mM(-1) s(-1) at 20 degreesC. The maximum enzyme synthesis (lactose as a sufficient inducer) was observed at 6 degreesC, thus below the optimum growth temperature of the bacterium (15 degreesC). The enzyme extracted from cells was purified to homogeneity (25% recovery) by using the fast, three-step procedure, including affinity chromatography on PABTG-Sepharose. The enzyme is a tetramer composed of roughly 115 kDa subunits. It is maximally active at 40 degreesC (190 U mg(-1) of protein) and pH 6.0-8.0. PNPG is its preferred substrate (50% higher activity than against ONPG). The Pseudoalteromonas sp. 22b beta-galactosidase is activated by thiol compounds (70% rise in activity in the presence of 10 mM dithiotreitol), some metal ions (K+, Na+, Mn2+-40% increase, Mg2+-15% enhancement), and markedly inactivated by pCMB and heavy metal ions, particularly Cu2+. Noteworthy, Ca2+ ions do not affect the enzyme activity, and the homogeneous protein is stable at 4 degreesC for at least 30 days without any stabilizers. (C) 2003 Elsevier Science B.V. All rights reserved.</t>
  </si>
  <si>
    <t>Tech Univ Lodz, Inst Tech Biochem, PL-90924 Lodz, Poland; Gdansk Tech Univ, Dept Microbiol, PL-80952 Gdansk, Poland</t>
  </si>
  <si>
    <t>Lodz University of Technology; Fahrenheit Universities; Gdansk University of Technology</t>
  </si>
  <si>
    <t>Turkiewicz, M (corresponding author), Tech Univ Lodz, Inst Tech Biochem, Stefanowskiego St 4-10, PL-90924 Lodz, Poland.</t>
  </si>
  <si>
    <t>Białkowska, Aneta/P-4481-2019</t>
  </si>
  <si>
    <t>Białkowska, Aneta/0000-0001-7319-238X; Kalinowska, Halina/0000-0001-8902-0005; Cieslinski, Hubert/0000-0003-0573-0830; Bielecki, Stanislaw/0000-0003-2089-8623; , Hubert/0000-0002-3504-2257</t>
  </si>
  <si>
    <t>1389-0344</t>
  </si>
  <si>
    <t>BIOMOL ENG</t>
  </si>
  <si>
    <t>Biomol. Eng.</t>
  </si>
  <si>
    <t>4-6</t>
  </si>
  <si>
    <t>10.1016/S1389-0344(03)00039-X</t>
  </si>
  <si>
    <t>Biochemical Research Methods; Biotechnology &amp; Applied Microbiology; Genetics &amp; Heredity</t>
  </si>
  <si>
    <t>Biochemistry &amp; Molecular Biology; Biotechnology &amp; Applied Microbiology; Genetics &amp; Heredity</t>
  </si>
  <si>
    <t>715ND</t>
  </si>
  <si>
    <t>WOS:000184977900029</t>
  </si>
  <si>
    <t>Phillips, RA; Cope, DR; Rees, EC; O'Connell, MJ</t>
  </si>
  <si>
    <t>Site fidelity and range size of wintering Barnacle Geese Branta leucopsis</t>
  </si>
  <si>
    <t>BIRD STUDY</t>
  </si>
  <si>
    <t>BELLIED BRENT GEESE; BODY RESERVES; B-BERNICLA; SNOW GEESE; HABITAT; SELECTION; RESOURCE; IMPACT; SHIFT</t>
  </si>
  <si>
    <t>Capsule Barnacle Geese restrict their movements to relatively few key sites and exhibit considerable variation in ranging behaviour. Aims To examine individual and seasonal variation in site fidelity, habitat use, range size and foraging strategies of Barnacle Geese Branto leucopsis. Methods The movements of 18 male Barnacle Geese tagged in two discrete areas were tracked for 3-6 months from late autumn until departure on the spring migration. Results Tagged geese concentrated their feeding in a relatively small proportion of apparently suitable habitat. Geese moved increasingly further afield in midwinter, and there was a clear predeparture shift to the largest area of relatively undisturbed, and possibly more nitrogen-rich, saltmarsh on the Solway. Birds from one of the two capture sites tended to be more sedentary and have smaller home ranges. Conclusion There is considerable between-site and inter-individual variation in the degree of site-faithfulness of Barnacle Geese.</t>
  </si>
  <si>
    <t>Wildfowl &amp; Wetlands Trust, Dumfries DG1 4RS, Scotland; Zool Soc London, Inst Zool, London NW1 4RY, England; Wildfowl &amp; Wetlands Trust, Slimbridge GL2 7BT, Glos, England; Macaulay Land Use Res Inst, Aberdeen AB15 8QH, Scotland</t>
  </si>
  <si>
    <t>Zoological Society of London; James Hutton Institute</t>
  </si>
  <si>
    <t>Phillips, RA (corresponding author), British Antarctic Survey, High Cross,Madingley Rd, Cambridge CB3 0ET, England.</t>
  </si>
  <si>
    <t>Rees, Eileen/I-5835-2019; Rees, Eileen/GZM-7164-2022</t>
  </si>
  <si>
    <t>Rees, Eileen/0000-0002-2247-3269; Rees, Eileen/0000-0002-2247-3269</t>
  </si>
  <si>
    <t>BRITISH TRUST ORNITHOLOGY</t>
  </si>
  <si>
    <t>THETFORD NORFOLK</t>
  </si>
  <si>
    <t>NUNNERY, NUNNERY PLACE, THETFORD NORFOLK IP24 2PU, ENGLAND</t>
  </si>
  <si>
    <t>0006-3657</t>
  </si>
  <si>
    <t>Bird Stud.</t>
  </si>
  <si>
    <t>10.1080/00063650309461308</t>
  </si>
  <si>
    <t>699UH</t>
  </si>
  <si>
    <t>WOS:000184074000009</t>
  </si>
  <si>
    <t>Choi, HJ; Ahn, IY; Kim, KW; Kim, HA; Lee, IS</t>
  </si>
  <si>
    <t>Subcellular distribution of naturally elevated cadmium in the Antarctic clam Laternula elliptica</t>
  </si>
  <si>
    <t>BULLETIN OF ENVIRONMENTAL CONTAMINATION AND TOXICOLOGY</t>
  </si>
  <si>
    <t>BIVALVE MACOMA-BALTHICA; METAL CONCENTRATIONS; DIFFERENT TISSUES; METALLOTHIONEIN; VARIABILITY; HOMEOSTASIS; COPPER; ZINC; ZN; CU</t>
  </si>
  <si>
    <t>Korea Ocean Res &amp; Dev Inst, Polar Sci Lab, Seoul 425600, South Korea; Ewha Womans Univ, Dept Biol, Seoul 120750, South Korea</t>
  </si>
  <si>
    <t>Korea Institute of Ocean Science &amp; Technology (KIOST); Ewha Womans University</t>
  </si>
  <si>
    <t>Choi, HJ (corresponding author), Korea Ocean Res &amp; Dev Inst, Polar Sci Lab, Ansan POB 29, Seoul 425600, South Korea.</t>
  </si>
  <si>
    <t>0007-4861</t>
  </si>
  <si>
    <t>B ENVIRON CONTAM TOX</t>
  </si>
  <si>
    <t>Bull. Environ. Contam. Toxicol.</t>
  </si>
  <si>
    <t>10.1007/s00128-003-0134-x</t>
  </si>
  <si>
    <t>Environmental Sciences; Toxicology</t>
  </si>
  <si>
    <t>Environmental Sciences &amp; Ecology; Toxicology</t>
  </si>
  <si>
    <t>694BF</t>
  </si>
  <si>
    <t>WOS:000183752300014</t>
  </si>
  <si>
    <t>Platt, U; Hönninger, G</t>
  </si>
  <si>
    <t>The role of halogen species in the troposphere</t>
  </si>
  <si>
    <t>2nd International Conference on Naturally Produced Organohalogens</t>
  </si>
  <si>
    <t>SEP 30-OCT 03, 2001</t>
  </si>
  <si>
    <t>HEIDELBERG, GERMANY</t>
  </si>
  <si>
    <t>OZONE DEPLETION EVENTS; ATMOSPHERIC METHYL-BROMIDE; SULFURIC-ACID-SOLUTIONS; BOUNDARY-LAYER; POLAR SUNRISE; STRATOSPHERIC BRO; IODINE OXIDE; SPECTROSCOPIC MEASUREMENT; MIDLATITUDE OBSERVATIONS; HETEROGENEOUS REACTION</t>
  </si>
  <si>
    <t>While the role of reactive halogen species (e.g. Cl, Br) in the destruction of the stratospheric ozone layer is well known, their role in the troposphere was investigated only since their destructive effect on boundary layer ozone after polar sunrise became obvious. During these 'Polar Tropospheric Ozone Hole' events O-3 is completely destroyed in the lowest; 1000 m of the atmosphere on areas of several million square kilometres. Up to now it was assumed that these events were confined to the polar regions during springtime. However, during the last few years significant amounts of BrO and Cl-atoms were also found outside the Arctic and Antarctic boundary layer. Recently even higher BrO, mixing ratios (up to 176 ppt) were detected by optical absorption spectroscopy (DOAS) in the Dead Sea basin during summer. In addition, evidence is accumulating that BrO (at levels around 1-2 ppt) is also occurring in the free troposphere at all latitudes. In contrast to the stratosphere, where halogens are released from species, which are very long lived in the troposphere, likely sources of boundary layer Br and Cl are autocatalytic oxidation of sea salt halides (the 'Bromine Explosion'), while precursors of free tropospheric BrO and coastal IO probably are short-lived organo-halogen species. At the levels suggested by the available measurements reactive halogen species have a profound effect on tropospheric chemistry: In the polar boundary layer during 'halogen events' ozone is usually completely lost within hours or days. In the free troposphere the effective O-3-losses due to halogens could be comparable to the known photochemical O-3 destruction. Further interesting consequences include the increase of OH levels and (at low NOX) the decrease of the HO2/OH ratio in the free troposphere. (C) 2003 Elsevier Science Ltd. All rights reserved.</t>
  </si>
  <si>
    <t>Heidelberg Univ, Inst Umweltphys, D-69120 Heidelberg, Germany</t>
  </si>
  <si>
    <t>Ruprecht Karls University Heidelberg</t>
  </si>
  <si>
    <t>Heidelberg Univ, Inst Umweltphys, INF 229, D-69120 Heidelberg, Germany.</t>
  </si>
  <si>
    <t>ulrich.platt@iup.uni-heidelberg.de</t>
  </si>
  <si>
    <t>Platt, Ulrich/HZM-2289-2023</t>
  </si>
  <si>
    <t>1879-1298</t>
  </si>
  <si>
    <t>10.1016/S0045-6535(03)00216-9</t>
  </si>
  <si>
    <t>682PJ</t>
  </si>
  <si>
    <t>WOS:000183100500005</t>
  </si>
  <si>
    <t>Li, XQ; Qin, DH; He, YQ; Zhang, CL; Zhou, H; Jiao, KQ</t>
  </si>
  <si>
    <t>Formate and acetate as recorded in a mid-latitude glacier in west China</t>
  </si>
  <si>
    <t>Symposium on Abrupt Environmental Changes in Arid Asia History and Mechanisms (RACHAD 2001)</t>
  </si>
  <si>
    <t>OCT, 2001</t>
  </si>
  <si>
    <t>LANZHOU UNIV, LANZHOU, PEOPLES R CHINA</t>
  </si>
  <si>
    <t>LANZHOU UNIV</t>
  </si>
  <si>
    <t>carboxylic acid; coal combustion; atmospheric pollution; cryosphere; alpine glacier; Tianshan</t>
  </si>
  <si>
    <t>LIGHT CARBOXYLIC-ACIDS; ACETIC-ACIDS; GREENLAND ICE; ANTARCTIC ICE; FOREST-FIRES; FORMIC-ACID; PRECIPITATION; TROPOSPHERE; EMISSIONS; REMOTE</t>
  </si>
  <si>
    <t>Formate and acetate are ubiquitous in the troposphere. Their occurrence is closely related to processes in the biosphere and contributes to an understanding of carbon biogeochemical cycles. A 43-year record of formate and acetate in an ice core from Glacier I (43degrees06'N, 86degrees49'E) at Urumqi river head, Tianshan, west China was investigated. Fluctuating between 22.7 ng . g(-1) and 2830.7 ng . g(-1), acetate concentration averages 373.2 +/- 376.1 ng . g(-1) (mean +/- 1sigma, N = 541) and is the highest anion in the record. Next to acetate, the concentration for formate varies between 2.1 ng . g(-1) and 795.5 ng . g(-1) and averages 61.1 +/- 89.0 ng . g(-1) (N = 541). The formate to acetate ratio averages 0.22 +/- 0.25 (N = 541), indicating that the chief source is from fossil fuel combustion, coal burning in particular. The two species co-varied in the past four decades and exhibited periods of high concentration from the early 1960s to the middle of 1970s and from the early 1980s to the middle of 1990s, separated by a time of the lower concentration between 1975-1980. These variations may reflect the local/regional anthropogenic pollution to the atmosphere as well as the economic development of northwestern China.</t>
  </si>
  <si>
    <t>Lanzhou Univ, MOE, Natl Lab Western Chinas Environm Syst, Lanzhou 730000, Peoples R China; Chinese Acad Sci, Cold &amp; Arid Reg Environm &amp; Engn Res Inst, Lab Ice Core &amp; Cold Reg Environm, Lanzhou 730000, Peoples R China; Lanzhou Univ, Sch Econ &amp; Management, Lanzhou 730000, Peoples R China</t>
  </si>
  <si>
    <t>Lanzhou University; Chinese Academy of Sciences; Cold &amp; Arid Regions Environmental &amp; Engineering Research Institute, CAS; Lanzhou University</t>
  </si>
  <si>
    <t>Li, XQ (corresponding author), Lanzhou Univ, MOE, Natl Lab Western Chinas Environm Syst, Lanzhou 730000, Peoples R China.</t>
  </si>
  <si>
    <t>SCIENCE CHINA PRESS</t>
  </si>
  <si>
    <t>10.1360/02wd0266</t>
  </si>
  <si>
    <t>706PY</t>
  </si>
  <si>
    <t>WOS:000184463300016</t>
  </si>
  <si>
    <t>Arhan, M; Mercier, H; Park, YH</t>
  </si>
  <si>
    <t>On the deep water circulation of the eastern South Atlantic Ocean</t>
  </si>
  <si>
    <t>South Atlantic; circulation; current; hydrography</t>
  </si>
  <si>
    <t>WESTERN BOUNDARY CURRENT; ANTARCTIC BOTTOM WATER; EQUATORIAL ATLANTIC; AGULHAS CURRENT; FRACTURE-ZONES; ANGOLA BASIN; INDIAN-OCEAN; MASSES; HYDROGRAPHY; TRANSPORTS</t>
  </si>
  <si>
    <t>The main flow patterns and transports of North Atlantic Deep Water (NADW) in the eastern South Atlantic and round southern Africa were inferred from two quasi-meridional WOCE hydrographic lines at 9degreesW and 5degreesE nominal longitudes, and from segments of other sections in the Atlantic-to-Indian Oceans transition region. An export of 11+/-4 Sv of NADW from the Atlantic was estimated near southern Africa inshore of the Subtropical Front. Most of this flow can be traced back across the Cape Basin to passages south of 28degreesS in Walvis Ridge, and farther upstream to an entry in the eastern basin at 20-25degreesS. Other transfers of NADW from the western boundary current to the eastern boundary were confirmed near the equator and at 22degreesS near the Namib Col of Walvis Ridge, yet a cyclonic recirculation of the former in the Angola Basin, and the weakness of the latter (4+/-2 Sv), make their direct contributions to the export of NADW minor ones. As another consequence, the estimated transport of the deep southward boundary current against the western continental slope of Africa shows important latitudinal variations (12+/-9 Sv at 7degrees30'S, 3+/-5 Sv at 22degrees30'S, 11+/-4 Sv at 35degreesS), with even a suggestion of its reversal in the northern Cape Basin. To the southwest of Cape Town, the deep boundary current is influenced by the temporal variability of the Agulhas retroflection region, and most of it separates from the slope to enter the Indian Ocean in the deep return flow of the Agulhas Current. Only a 2-3 Sv remnant against the continental slope was estimated at 30degreesE to the east of the Agulhas Plateau. (C) 2003 Elsevier Science Ltd. All rights reserved.</t>
  </si>
  <si>
    <t>IFREMER, Ctr Brest, UBO, CNRS,Lab Phys Oceans, F-29280 Plouzane, France; Museum Natl Hist Nat, Dept Milieux &amp; Peuplements Marins, F-75231 Paris, France</t>
  </si>
  <si>
    <t>Centre National de la Recherche Scientifique (CNRS); Ifremer; Institut de Recherche pour le Developpement (IRD); Universite de Bretagne Occidentale; Institut Universitaire Europeen de la Mer (IUEM); Museum National d'Histoire Naturelle (MNHN)</t>
  </si>
  <si>
    <t>Arhan, M (corresponding author), IFREMER, Ctr Brest, UBO, CNRS,Lab Phys Oceans, BP 70, F-29280 Plouzane, France.</t>
  </si>
  <si>
    <t>michel.arhan@ifremer.fr</t>
  </si>
  <si>
    <t>MERCIER, Herle/L-4161-2015</t>
  </si>
  <si>
    <t>MERCIER, Herle/0000-0002-1940-617X</t>
  </si>
  <si>
    <t>10.1016/S0967-0637(03)00072-4</t>
  </si>
  <si>
    <t>767NZ</t>
  </si>
  <si>
    <t>WOS:000188458500004</t>
  </si>
  <si>
    <t>Hooker, SK; Boyd, IL</t>
  </si>
  <si>
    <t>Salinity sensors on seals: use of marine predators to carry CTD data loggers</t>
  </si>
  <si>
    <t>salinity; CTD; marine predators; oceanography</t>
  </si>
  <si>
    <t>FORAGING ECOLOGY; ELEPHANT SEALS; SOUTH; PRODUCTIVITY; VARIABLES; FEATURES; OCEAN</t>
  </si>
  <si>
    <t>Diving marine predators have been used to collect data on ocean temperature, but salinity measurements have not previously been incorporated into predator-borne data loggers. Here we present data on initial calibration and field trials of a new conductivity, temperature and depth (CTD) data logger used alongside a satellite-positioning transmitter to provide three-dimensional oceanographic information. This provides CTD data analogous to that collected by a ship-deployed undulating oceanographic recorder. Calibration tests of these units showed a near-field effect caused by the proximity of material to the tag, but demonstrate that the resulting data offset can be removed by post hoc calibration. Field tests of the system were conducted on 16 female Antarctic fur seals (Arctocephalus gazella) at Bird Island, South Georgia. These results matched those found by standard ship-based survey techniques, but suggest temporal variability in the structure and location of the two water masses found to the north of South Georgia. Overall, this initial proof-of-concept work is encouraging,: future refinement of this technique is likely to provide an additional data source for both oceanographers and biologists. (C) 2003 Elsevier Science Ltd. All rights reserved.</t>
  </si>
  <si>
    <t>Univ St Andrews, Gatty Marine Lab, Sea Mammal Res Unit, St Andrews KY16 8LB, Fife, Scotland; British Antarctic Survey, NERC, Cambridge CB3 0ET, England</t>
  </si>
  <si>
    <t>University of St Andrews; UK Research &amp; Innovation (UKRI); Natural Environment Research Council (NERC); NERC British Antarctic Survey</t>
  </si>
  <si>
    <t>Univ St Andrews, Gatty Marine Lab, Sea Mammal Res Unit, St Andrews KY16 8LB, Fife, Scotland.</t>
  </si>
  <si>
    <t>s.hooker@st-andrews.ac.uk</t>
  </si>
  <si>
    <t>Hooker, Sascha K/J-3267-2013</t>
  </si>
  <si>
    <t>Hooker, Sascha/0000-0002-7518-3548</t>
  </si>
  <si>
    <t>10.1016/S0967-0637(03)00055-4</t>
  </si>
  <si>
    <t>WOS:000188458500006</t>
  </si>
  <si>
    <t>Danilov, AI; Ivanov, LM; Klepikov, AV; Margolina, TM</t>
  </si>
  <si>
    <t>Variability of surface circulation in the Southern Ocean on the basis of FGGE drifting buoys</t>
  </si>
  <si>
    <t>DOKLADY EARTH SCIENCES</t>
  </si>
  <si>
    <t>TOTAL GEOSTROPHIC CIRCULATION; ATLANTIC OCEAN; FLOW PATTERNS; TRANSPORTS; TRACERS</t>
  </si>
  <si>
    <t>State Fed Sci Ctr, Arctic &amp; Antarctic Res Inst, St Petersburg 199397, Russia; Natl Acad Sci Ukraine, Inst Marine Hydrophys, UA-99011 Sevastopol, Crimea, Ukraine</t>
  </si>
  <si>
    <t>Arctic &amp; Antarctic Research Institute; National Academy of Sciences Ukraine</t>
  </si>
  <si>
    <t>Danilov, AI (corresponding author), State Fed Sci Ctr, Arctic &amp; Antarctic Res Inst, Ul Beringa 38, St Petersburg 199397, Russia.</t>
  </si>
  <si>
    <t>Margolina, Tetyana/ABD-3917-2021</t>
  </si>
  <si>
    <t>Margolina, Tetyana/0000-0003-1594-5974</t>
  </si>
  <si>
    <t>1028-334X</t>
  </si>
  <si>
    <t>DOKL EARTH SCI</t>
  </si>
  <si>
    <t>Dokl. Earth Sci.</t>
  </si>
  <si>
    <t>391A</t>
  </si>
  <si>
    <t>716GA</t>
  </si>
  <si>
    <t>WOS:000185019400018</t>
  </si>
  <si>
    <t>Kotlyakov, VM; Moskalevsky, MY</t>
  </si>
  <si>
    <t>Discharge of grounded ice of the Antarctic ice sheet</t>
  </si>
  <si>
    <t>MASS-BALANCE; PRECIPITATION</t>
  </si>
  <si>
    <t>Russian Acad Sci, Inst Geog, Moscow 119017, Russia</t>
  </si>
  <si>
    <t>Russian Academy of Sciences; Institute of Geography, Russian Academy of Sciences</t>
  </si>
  <si>
    <t>Kotlyakov, VM (corresponding author), Russian Acad Sci, Inst Geog, Staromonernyi Per 29, Moscow 119017, Russia.</t>
  </si>
  <si>
    <t>WOS:000185019400030</t>
  </si>
  <si>
    <t>van Dongen, BE; Schouten, S; Damsté, JSS</t>
  </si>
  <si>
    <t>Sulfurization of carbohydrates results in a sulfur-rich, unresolved complex mixture in kerogen pyrolysates</t>
  </si>
  <si>
    <t>ENERGY &amp; FUELS</t>
  </si>
  <si>
    <t>GAS-CHROMATOGRAPHY; ACE LAKE; MOLECULAR-STRUCTURE; ORGANIC-MATTER; ANTARCTIC LAKE; HYDROCARBONS; PETROLEUM; SEDIMENTS; CARBON; SULFURISATION</t>
  </si>
  <si>
    <t>Pyrolysates of the organic carbon-rich and oil-prone rocks of the Kimmeridge Clay Formation (KCF) are dominated by a sulfur-rich unresolved complex mixture (UCM). Structural characterization of this UCM by preparative capillary gas chromatography, gas chromatography (GC), gas chromatography/mass spectrometry (GC/MS), isotope-ratio-monitoring GC/MS, elemental analysis, nuclear magnetic resonance spectroscopy, and Fourier transform infrared absorption, as well as chemical degradation by desulfarization and ruthenium tetroxide treatment, revealed that this UCM probably consists of a large number of sulfur-bound and oxygen-bound, short-chain carbon skeletons. These skeletons are part of oligomeric structures of diverse molecular weight that elute during GC analysis as an UCM. These skeletons most likely originate from carbohydrates that have been incorporated into macromolecular organic matter through sulfurization during early diagenesis. Upon pyrolysis, this macromolecular material is transferred into the oligomeric structures present in the UCM. Sulfur-rich UCMs have also been identified in several other kerogens, suggesting that carbohydrate sulfurization could be an important mechanism for the preservation of sedimentary organic carbon. In addition, it is likely that the sulfurized carbohydrates form a substantial part of sulfur-rich kerogens and that these thermally labile structures cause the early generation of petroleum from sulfur-rich kerogens.</t>
  </si>
  <si>
    <t>Royal Netherlands Inst Sea Res, Dept Marine Biogeochem &amp; Toxicol, NL-1790 AB Den Burg, Netherlands</t>
  </si>
  <si>
    <t>Utrecht University; Royal Netherlands Institute for Sea Research (NIOZ)</t>
  </si>
  <si>
    <t>van Dongen, BE (corresponding author), Royal Netherlands Inst Sea Res, Dept Marine Biogeochem &amp; Toxicol, POB 59, NL-1790 AB Den Burg, Netherlands.</t>
  </si>
  <si>
    <t>Be.vandongen@bristol.ac.uk</t>
  </si>
  <si>
    <t>; Sinninghe Damste, Jaap/F-6128-2011</t>
  </si>
  <si>
    <t>van Dongen, Bart/0000-0003-1189-142X; Sinninghe Damste, Jaap/0000-0002-8683-1854</t>
  </si>
  <si>
    <t>0887-0624</t>
  </si>
  <si>
    <t>ENERG FUEL</t>
  </si>
  <si>
    <t>Energy Fuels</t>
  </si>
  <si>
    <t>10.1021/ef0202283</t>
  </si>
  <si>
    <t>Energy &amp; Fuels; Engineering, Chemical</t>
  </si>
  <si>
    <t>Energy &amp; Fuels; Engineering</t>
  </si>
  <si>
    <t>703LT</t>
  </si>
  <si>
    <t>WOS:000184281400046</t>
  </si>
  <si>
    <t>Hughes, KA; Lawley, B</t>
  </si>
  <si>
    <t>A novel Antarctic microbial endolithic community within gypsum crusts</t>
  </si>
  <si>
    <t>ENVIRONMENTAL MICROBIOLOGY</t>
  </si>
  <si>
    <t>ALEXANDER ISLAND; COLD DESERT; DRY VALLEYS; NIAGARA ESCARPMENT; ROSS DESERT; ALGAE; MICROORGANISMS; CYANOBACTERIA; LIMESTONE; ICE</t>
  </si>
  <si>
    <t>A novel endolithic microbial habitat is described from a climatically extreme site at Two Step Cliffs, Alexander Island, Antarctic Peninsula (71degrees54'S, 68degrees13'W). Small endolithic colonies (&lt;3 mm in diameter) are found within the translucent gypsum crust that forms on the surface of sandstone boulders. Gypsum crusts are found on ice-free rocks throughout the Antarctic and therefore offer potential colonization sites at more inhospitable locations, including sites at higher latitudes. Cyanobacterial, bacterial and fungal components were cultured from the crust material and have been identified as Chloroglea sp., Sphingomonas sp. and Verticillium sp. respectively. A non-cultured, black-pigmented fungus was also found. Cyanobacterial primary productivity is low: at depths of 1.2 and 2.5 mm within the crust, estimates of possible cell divisions per year were &lt; 38 and four respectively. This microniche is proposed to provide protection from desiccation, rapid temperature variation and UV radiation flux while allowing penetration of photosynthetically active radiation (PAR) for utilization by phototrophs. The endolithic communities are less extensive than those of the Dry Valleys, continental Antarctica, probably owing to only recent deglaciation (&lt;7000 year ago).</t>
  </si>
  <si>
    <t>Hughes, KA (corresponding author), British Antarctic Survey, NERC, High Cross,Madingley Rd, Cambridge CB3 0ET, England.</t>
  </si>
  <si>
    <t>1462-2912</t>
  </si>
  <si>
    <t>ENVIRON MICROBIOL</t>
  </si>
  <si>
    <t>Environ. Microbiol.</t>
  </si>
  <si>
    <t>10.1046/j.1462-2920.2003.00439.x</t>
  </si>
  <si>
    <t>692BP</t>
  </si>
  <si>
    <t>WOS:000183640700003</t>
  </si>
  <si>
    <t>Sigler, WV; Bachofen, R; Zeyer, J</t>
  </si>
  <si>
    <t>Molecular characterization of endolithic cyanobacteria inhabiting exposed dolomite in central Switzerland</t>
  </si>
  <si>
    <t>NIAGARA ESCARPMENT; COLORADO PLATEAU; CRYPTOENDOLITHIC MICROBIOTA; ANTARCTIC DESERT; COMMUNITIES; DIVERSITY; ALGAE; SOIL; CLIFFS; CRUSTS</t>
  </si>
  <si>
    <t>The phototrophic microbial community inhabiting exposed dolomite in the alpine Piora Valley (Switzerland) forms a distinct endolithic bilayer that features adjacent red dolomite (exterior) and green dolomite (interior) layers that are c . 0.5-1 mm below the rock surface. Characterization of the community, with an emphasis on cyanobacteria, was conducted with culture-dependent and -independent approaches. Direct microscopy of green dolomite revealed four distinct morphotypes consistent with Chlorophyta genera Chlorella and Stichococcus and the Cyanobacterial genera Nostoc and Calothrix , whereas only Stichococcus and Nostoc were observed in the red dolomite. Enrichment in BG-11 media resulted in the growth of Chlorella and Stichococcus . Denaturing gradient gel electrophoresis (DGGE) analysis of DNA extracted from the enrichment revealed two dominant phylotypes with sequence similarity to Chlorella osrokiniana chloroplast and the cyanobacteria genus Leptolyngbya . 16S rRNA gene-based DGGE analysis of DNA extracted directly from both layers indicated that although both layers harboured phylotypes most similar to the Cyanobacterial genera Nostoc , Chroococcidiopsis , and Microcoleus , and the Chlorophyte Stichococcus bacillaris , the two layers also harboured unique genera such as Scytonema , and Symploca ( red, external layer of dolomite) and Chlorella (green, internal layer of dolomite). The unique community structure of each layer suggests a selection process directed by the pressures of the endolithic environment. We conclude that the overall composition of the phototrophic community closely resembles that of endolithic communities located in extreme habitats, suggesting that a cosmopolitan community inhabits this defined niche.</t>
  </si>
  <si>
    <t>ETH, Inst Terr Ecol, Swiss Fed Inst Technol, CH-8952 Schlieren, Switzerland; Univ Zurich, Inst Plant Biol, CH-8008 Zurich, Switzerland</t>
  </si>
  <si>
    <t>Swiss Federal Institutes of Technology Domain; ETH Zurich; University of Zurich</t>
  </si>
  <si>
    <t>Sigler, WV (corresponding author), ETH, Inst Terr Ecol, Swiss Fed Inst Technol, CH-8952 Schlieren, Switzerland.</t>
  </si>
  <si>
    <t>10.1046/j.1462-2920.2003.00453.x</t>
  </si>
  <si>
    <t>WOS:000183640700009</t>
  </si>
  <si>
    <t>Pearce, DA; van der Gast, CJ; Lawley, B; Ellis-Evans, JC</t>
  </si>
  <si>
    <t>Bacterioplankton community diversity in a maritime Antarctic lake, determined by culture-dependent and culture-independent techniques</t>
  </si>
  <si>
    <t>Antarctic freshwater lake; bacterioplankton; community structure; 16S rRNA; fatty acid methyl ester; cloning</t>
  </si>
  <si>
    <t>RIBOSOMAL-RNA SEQUENCES; RDNA CLONE LIBRARIES; FRESH-WATER BACTERIA; MICROBIAL DIVERSITY; ACTIVATED-SLUDGE; OLIGONUCLEOTIDE PROBES; SUBSURFACE SEDIMENT; GENE-SEQUENCES; SOIL BACTERIA; PCR</t>
  </si>
  <si>
    <t>The biodiversity of the pelagic bacterioplankton community of a maritime Antarctic freshwater lake was examined by cultivation-dependent and cultivation-independent techniques to determine predominant bacterioplankton populations present. The culture-dependent techniques used were direct culture and observation, polymerase chain reaction amplification of 16S rRNA gene fragments, restriction fragment length polymorphism (RFLP) analysis followed by selective sequencing and fatty acid methyl ester analysis. The culture-independent techniques used were 16S ribosomal DNA gene cloning, RFLP analysis and sequencing, in situ hybridisation with group-specific, fluorescently labelled oligonucleotide probes and cloning and sequencing of dominant denaturing gradient gel electrophoresis products. Significant differences occurred between the results obtained with each method. However, sufficient overlap existed between the different methods to identify potentially significant groups. At least six different bacterial divisions including 24 genera were identified using culture-dependent techniques, and eight different bacterial divisions, including 23 genera, were identified using culture-independent techniques. Only five genera, Corynebacterium, Cytophaga, Flavobacterium, Janthinobacterium and Pseudomonas, could be identified using both sets of techniques, which represented four different bacterial divisions. Significantly for Antarctic freshwater lakes, pigment production is found within members of each of these genera. This work illustrates the importance of a comprehensive polyphasic approach in the analysis of lake bacterioplankton, and supports the ecological relevance of results obtained in earlier entirely culture-based studies. (C) 2003 Federation of European Microbiological Societies. Published by Elsevier Science B.V. All rights reserved.</t>
  </si>
  <si>
    <t>British Antarctic Survey, Cambridge CB3 0ET, England; Ctr Ecol &amp; Hydrol, Oxford OX1 3SR, England</t>
  </si>
  <si>
    <t>UK Research &amp; Innovation (UKRI); Natural Environment Research Council (NERC); NERC British Antarctic Survey; UK Centre for Ecology &amp; Hydrology (UKCEH)</t>
  </si>
  <si>
    <t>British Antarctic Survey, Madingley Rd, Cambridge CB3 0ET, England.</t>
  </si>
  <si>
    <t>dpearce@bas.ac.uk</t>
  </si>
  <si>
    <t>van der Gast, Christopher/G-1153-2011</t>
  </si>
  <si>
    <t>van der Gast, Christopher/0000-0003-1101-4048; Pearce, David/0000-0001-5292-4596</t>
  </si>
  <si>
    <t>1574-6941</t>
  </si>
  <si>
    <t>JUL 1</t>
  </si>
  <si>
    <t>10.1016/S0168-6496(03)00110-7</t>
  </si>
  <si>
    <t>693XU</t>
  </si>
  <si>
    <t>WOS:000183744300007</t>
  </si>
  <si>
    <t>Saunders, NFW; Thomas, T; Curmi, PMG; Mattick, JS; Kuczek, E; Slade, R; Davis, J; Franzmann, PD; Boone, D; Rusterholtz, K; Feldman, R; Gates, C; Bench, S; Sowers, K; Kadner, K; Aerts, A; Dehal, P; Detter, C; Glavina, T; Lucas, S; Richardson, P; Larimer, F; Hauser, L; Land, M; Cavicchioli, R</t>
  </si>
  <si>
    <t>Mechanisms of thermal adaptation revealed from the genomes of the Antarctic Archaea Methanogenium frigidum and Methanococcoides burtonii</t>
  </si>
  <si>
    <t>GENOME RESEARCH</t>
  </si>
  <si>
    <t>RNA SECONDARY STRUCTURES; COLD-SHOCK DOMAIN; ELONGATION-FACTOR-2 PROTEINS; THERMOPHILIC METHANOGENS; SP NOV.; POSTTRANSCRIPTIONAL MODIFICATION; H-2-USING METHANOGEN; ACE LAKE; IDENTIFICATION; SEQUENCE</t>
  </si>
  <si>
    <t>We generated draft genome sequences for two cold-adapted Archaea, Methanogenium frigidum and Methanococcoides burtonii, to identify genotypic characteristics that distinguish them from Archaea with a higher optimal growth temperature (OGT). Comparative genomics revealed trends in amino acid and tRNA composition, and structural features of proteins. Proteins from the cold-adapted Archaea are characterized by a higher content of noncharged polar amino acids, particularly Gin and Thr and a lower content of hydrophobic amino acids, particularly Leu. Sequence data from nine methanogen genomes (OGT 15degrees-98degreesC) were used to generate IIII modeled protein structures. Analysis of the models from the cold-adapted Archaea showed a strong tendency in the solvent-accessible area for more Gin, Thr, and hydrophobic residues and fewer charged residues. A cold shock domain (CSD) protein (CspA homolog) was identified in M. frigidum, two hypothetical proteins with CSD-folds in M. burtonii, and a unique winged helix DNA-binding domain protein in M. burtonii. This suggests that these types of nucleic acid binding proteins have a critical role in cold-adapted Archaea. Structural analysis of tRNA sequences from the Archaea indicated that GC content is the major factor influencing tRNA stability in hyperthermophiles, but not in the psychrophiles, mesophiles or moderate thermophiles. Below an OGT of 60degreesC, the GC content in tRNA was largely unchanged, indicating that any requirement for flexibility of tRNA in psychrophiles is mediated by other means. This is the first time that comparisons have been performed with genome data from Archaea spanning the growth temperature extremes. from psychrophiles to hyperthermophiles.</t>
  </si>
  <si>
    <t>Univ New S Wales, Sch Biotechnol &amp; Biomol Sci, Sydney, NSW 2052, Australia; Oak Ridge Natl Lab, IUT Genome Sci &amp; Technol, Oak Ridge, TN 37831 USA; US DOE, Joint Genome Inst, Walnut Creek, CA 94598 USA; Univ Maryland, Ctr Marine Biotechnol, Inst Biotechnol, Baltimore, MD 21202 USA; Genom Applicat Amersham Biosci, Sunnyvale, CA 94086 USA; Oregon Hlth Sci Univ, Dept Biol, Portland, OR 97201 USA; CSIRO, Land &amp; Water, Floreat, Wembley, WA 6014, Australia; Univ Queensland, Inst Mol Biosci, Australian Genome Res Facil, Brisbane, Qld 4072, Australia; St Vincents Hosp, Ctr Immunol, Sydney, NSW 2010, Australia; Univ New S Wales, Sch Phys, Sydney, NSW 2052, Australia</t>
  </si>
  <si>
    <t>University of New South Wales Sydney; United States Department of Energy (DOE); Oak Ridge National Laboratory; United States Department of Energy (DOE); Joint Genome Institute - JGI; Joint BioEnergy Institute - JBEI; University System of Maryland; University of Maryland Baltimore; Oregon Health &amp; Science University; Commonwealth Scientific &amp; Industrial Research Organisation (CSIRO); University of Queensland; NSW Health; St Vincents Hospital Sydney; University of New South Wales Sydney</t>
  </si>
  <si>
    <t>Cavicchioli, R (corresponding author), Univ New S Wales, Sch Biotechnol &amp; Biomol Sci, Sydney, NSW 2052, Australia.</t>
  </si>
  <si>
    <t>Bench, Shellie R/E-7679-2010; Mattick, John Stanley/ABH-6130-2020; Saunders, Neil FW/B-5325-2010; Hauser, Loren J/H-3881-2012; Curmi, Paul/G-7185-2011; Cavicchioli, Ricardo/D-4341-2013; Land, Miriam/A-6200-2011</t>
  </si>
  <si>
    <t>Mattick, John Stanley/0000-0002-7680-7527; Curmi, Paul/0000-0001-5762-7638; Kuczek, Elizabeth/0000-0002-5412-5509; Saunders, Neil/0000-0003-2139-6107; Dehal, Paramvir/0000-0001-5810-2497; Cavicchioli, Ricardo/0000-0001-8989-6402; Thomas, Torsten/0000-0001-9557-3001; Land, Miriam/0000-0001-7102-0031</t>
  </si>
  <si>
    <t>COLD SPRING HARBOR LAB PRESS, PUBLICATIONS DEPT</t>
  </si>
  <si>
    <t>WOODBURY</t>
  </si>
  <si>
    <t>500 SUNNYSIDE BLVD, WOODBURY, NY 11797-2924 USA</t>
  </si>
  <si>
    <t>1088-9051</t>
  </si>
  <si>
    <t>GENOME RES</t>
  </si>
  <si>
    <t>Genome Res.</t>
  </si>
  <si>
    <t>10.1101/gr.1180903</t>
  </si>
  <si>
    <t>697YC</t>
  </si>
  <si>
    <t>Green Published, Green Submitted, hybrid</t>
  </si>
  <si>
    <t>WOS:000183970000003</t>
  </si>
  <si>
    <t>Vovk, VY; Egorova, LV</t>
  </si>
  <si>
    <t>Effects of cosmic rays and SW dynamic pressure in variations in the atmospheric characteristics in the South Pole Region</t>
  </si>
  <si>
    <t>BARIC FIELD PERTURBATIONS; SHORT-TERM CHANGES; SOLAR-ACTIVITY; FORBUSH-DECREASES; TEMPERATURE; STRATOSPHERE; TRANSPARENCY; VARIABILITY; CLOUDINESS; CONNECTION</t>
  </si>
  <si>
    <t>Influence of cosmic rays on the atmospheric pressure and temperature in the vicinity of the South Pole have been studied on the basis of daily measurements of the pressure and temperature at heights of h = 0-20 km at Vostok Antarctic station in 1981-1991. Strong solar proton events (SPEs), Forbush-decreases of galactic cosmic rays (GCRs) at the presence and absence of weak proton fluxes have been studied. The cases of significant intensification of the dynamic pressure of the solar wind (SW) have also been analyzed. The results of statistical studies show that the thermal regime of the lower atmosphere depends on the variations in the SW dynamic pressure. Significant warming (up to 20degrees) is observed at heights of h &lt; 5 km and h &gt; 8 km. The Forbush-decrease (FD) also cause cooling of the lower troposphere and lead to a decrease in the atmospheric pressure at all heights below 20 km. Solar proton bursts are responsible for warming of the atmosphere at heights of h &lt; 5 km and for an increase in the atmospheric pressure at all heights. The character of the influence of cosmic rays on the atmospheric characteristics in the winter near-polar region is opposite to the proposed mechanism of transparency variations observed at subauroral and auroral latitudes.</t>
  </si>
  <si>
    <t>Russian Acad Sci, Artic &amp; Antartic Res Inst, St Petersburg 199397, Russia</t>
  </si>
  <si>
    <t>Russian Academy of Sciences</t>
  </si>
  <si>
    <t>Vovk, VY (corresponding author), Russian Acad Sci, Artic &amp; Antartic Res Inst, Ul Beringa 38, St Petersburg 199397, Russia.</t>
  </si>
  <si>
    <t>716FH</t>
  </si>
  <si>
    <t>WOS:000185017800006</t>
  </si>
  <si>
    <t>Bauer, W; Jacobs, J; Fanning, CM; Schmidt, R</t>
  </si>
  <si>
    <t>Late mesoproterozoic arc and back-arc volcanism in the Heimefrontfjella (East Antarctica) and implications for the palaeogeography at the southeastern margin of the Kaapvaal-Grunehogna craton</t>
  </si>
  <si>
    <t>GONDWANA RESEARCH</t>
  </si>
  <si>
    <t>East Antarctica; Heimefrontfjella; geochemistry; geochronology; late Mesoproterozoic</t>
  </si>
  <si>
    <t>U-PB AGES; TECTONIC DISCRIMINATION; GRENVILLE-AGE; ZIRCON; COMPLEX; BASALTS; ROCKS; LAND</t>
  </si>
  <si>
    <t>The nunataks of Heimefrontfjella in Dronning Maud Land (Antarctica) are dominantly composed of juvenile late Mesoproterozoic rocks that were metamorphosed and deformed at about 1080 and 500 Ma. Three discontinuity-bound terranes have been identified, namely the Kottas, Sivorg and Vardeklettane terranes. In the Sivorg terrane the basement is mainly made up of fine-grained banded felsic and mafic gneisses, representing a metamorphosed bimodal volcanic sequence. In contrast, the basement in the Kottas terrane is composed of banded gneisses of tonalitic to dioritic composition and calc-alkaline metaplutonic rocks. The metamorphic rocks of the Vardeklettane terrane are granulites of supra- to infracrustal origin. Geochemical data characterize the protoliths of the bimodal sequence in the Sivorg terrane as tholeiitic basalts with MORB signature, alternating with high-k rhyolites derived from a highly fractionated granitic magma. Four U-Pb zircon SHRIMP ages prove a magmatic activity in the Sivorg terrane at least from similar to1160 to 1090 Ma. The orthogneisses from the Kottas terrane plot in the field of volcanic arc granites. Their protoliths may be derived from a calc-alkaline magmatic suite. According to recent reconstructions of the Kalahari continent the basement of the Kottas terrane is an Antarctic counterpart of the Mzumbe terrane in Natal. Our data allow a reconstruction of a subduction-related volcanic arc (Kottas Arc) along a southerly directed subduction zone which existed from similar to1200 to 1100 Ma, finally colliding with the southeastern margin of the Kaapvaal-Grunehogna craton. South of the volcanic arc, a back-arc basin (Sivorg terrane) developed during latest Mesoproterozoic times. Undeformed calc-alkaline granites in the northernmost Heimefrontfjella point to a final northward directed subduction of the oceanic lithosphere of the back-arc basin which led to the collision of the Coats Land block with the Kaapvaal-Grunehogna craton.</t>
  </si>
  <si>
    <t>Rhein Westfal TH Aachen, Inst Geol, D-52056 Aachen, Germany; Univ Bremen, FB Geowissensch, D-28334 Bremen, Germany; Australian Natl Univ, Res Sch Earth Sci, Canberra, ACT 0200, Australia</t>
  </si>
  <si>
    <t>RWTH Aachen University; University of Bremen; Australian National University</t>
  </si>
  <si>
    <t>1342-937X</t>
  </si>
  <si>
    <t>1878-0571</t>
  </si>
  <si>
    <t>GONDWANA RES</t>
  </si>
  <si>
    <t>Gondwana Res.</t>
  </si>
  <si>
    <t>10.1016/S1342-937X(05)70998-9</t>
  </si>
  <si>
    <t>697HH</t>
  </si>
  <si>
    <t>WOS:000183936100008</t>
  </si>
  <si>
    <t>Markgraf, V; Bradbury, JP; Schwalb, A; Burns, SJ; Stern, C; Ariztegui, D; Gilli, A; Anselmetti, FS; Stine, S; Maidana, N</t>
  </si>
  <si>
    <t>Holocene palaeoclimates of southern Patagonia: limnological and environmental history of Lago Cardiel, Argentina</t>
  </si>
  <si>
    <t>HOLOCENE</t>
  </si>
  <si>
    <t>environmental history; multiproxy approach; palaeolimnology; palaeoclimates; lake levels; stormtracks; Patagonia; Lago Cardiel; Argentina; South America; Holocene</t>
  </si>
  <si>
    <t>TAITAO PENINSULA; CLIMATE-CHANGE; LAKE; OXYGEN</t>
  </si>
  <si>
    <t>Multiproxy palaeoenvironmental and palaeolimnological analyses of two Holocene-age sediment cores from the margin of Lago Cardiel, a 76 m deep, closed-basin lake in southern Patagonia (latitude 49degreesS), provide information on lake-level changes that can be related to regional palaeoclimate scenarios. Sedimentologic (magnetic susceptibility, organic and inorganic carbon content) and environmental indicators (pollen, diatoms, ostracodes and stable isotopes on ostracodes) show lake levels markedly higher than today during the early Holocene, following a rapid lake-level rise after a desiccation phase prior to 11000 BP. After about 6000 BP, lake levels were generally lower, but underwent repeated fluctuations. These inferred changes support the previously proposed view that the southern westerly stormtracks were focused (zonal) north of latitude 50degreesS during the early Holocene, allowing for Antarctic cold fronts to bring easterly moisture to southern Patagonia, whereas during the late Holocene the stormtracks shifted seasonally, with an overall more meridional behaviour, resulting in less and more variable moisture at these latitudes.</t>
  </si>
  <si>
    <t>Univ Colorado, Inst Arctic &amp; Alpine Res, Boulder, CO 80309 USA; Heidelberg Univ, Inst Umwelt Geochem, D-69120 Heidelberg, Germany; Univ Massachusetts, Dept Geosci, Amherst, MA 01003 USA; Univ Colorado, Dept Geol Sci, Boulder, CO 80309 USA; Swiss Fed Inst Technol ETHZ, Inst Geol, CH-8092 Zurich, Switzerland; Calif State Univ Hayward, Dept Geog &amp; Environm Studies, Hayward, CA 94542 USA; Univ Buenos Aires, Fac Ciencias Exactas &amp; Nat, Dept Ciencias Biol, Lab Morfol Vegetal, RA-1428 Buenos Aires, DF, Argentina</t>
  </si>
  <si>
    <t>University of Colorado System; University of Colorado Boulder; Ruprecht Karls University Heidelberg; University of Massachusetts System; University of Massachusetts Amherst; University of Colorado System; University of Colorado Boulder; Swiss Federal Institutes of Technology Domain; ETH Zurich; California State University System; California State University East Bay; University of Buenos Aires</t>
  </si>
  <si>
    <t>Univ Colorado, Inst Arctic &amp; Alpine Res, Boulder, CO 80309 USA.</t>
  </si>
  <si>
    <t>markgraf@spot.colorado.edu</t>
  </si>
  <si>
    <t>Burns, Stephen J/H-9419-2013; Gilli, Adrian/B-5238-2014</t>
  </si>
  <si>
    <t>Gilli, Adrian/0000-0003-4193-2157; Schwalb, Antje/0000-0002-4628-1958; Anselmetti, Flavio/0000-0002-8785-3641; Maidana, Nora/0000-0002-1429-4834</t>
  </si>
  <si>
    <t>SAGE PUBLICATIONS LTD</t>
  </si>
  <si>
    <t>1 OLIVERS YARD, 55 CITY ROAD, LONDON EC1Y 1SP, ENGLAND</t>
  </si>
  <si>
    <t>0959-6836</t>
  </si>
  <si>
    <t>1477-0911</t>
  </si>
  <si>
    <t>Holocene</t>
  </si>
  <si>
    <t>10.1191/0959683603hl648rp</t>
  </si>
  <si>
    <t>690ZA</t>
  </si>
  <si>
    <t>WOS:000183579300012</t>
  </si>
  <si>
    <t>Allende, L; Izaguirre, I</t>
  </si>
  <si>
    <t>The role of physical stability on the establishment of steady states in the phytoplankton community of two Maritime Antarctic lakes</t>
  </si>
  <si>
    <t>Antarctic lakes; functional groups; picocyanobacteria; thermal patterns</t>
  </si>
  <si>
    <t>HOPE BAY; SUMMER PHYTOPLANKTON; CIERVA POINT; PICOPLANKTON; ASSEMBLAGES; DISTURBANCE; DIVERSITY; DYNAMICS; SHALLOW; ISLAND</t>
  </si>
  <si>
    <t>Two Antarctic lakes near Hope Bay were studied during summers 1998 and 1999. One of the lakes (Boeckella) is located near Esperanza Station and exhibits a meso-eutrophic condition due to the input of nutrients of a nearby penguin rookery. Its surface generally remains ice-free during the Antarctic summer ( December - March). The other lake (Chico) is situated on the Mount Flora shelf, is typically oligotrophic and its surface is ice-free only during brief periods in the summer season. The difference in the duration of the ice-cover insures that the wind mixes the former lake continuously throughout the summer, while the latter remains almost always stratified. X-2, X-3 and Z functional groups defined by Reynolds dominated phytoplankton in both lakes. In Lake Boeckella, Chlamydomonas spp. followed by Ochromonas sp. were the most frequently encountered taxa in the nano-phytoplankton fraction, however the latter species was dominant when the lake froze. In Lake Chico, the major contribution to this fraction was due to different genera of flagellated Chrysophyceae (Ochromonas sp., Chromulina spp., cf. Chrysidalis). In terms of density and biomass in both lakes picocyanobacteria represented a large proportion of the phytoplankton. Probably due to the typically low algal biodiversity of Antarctic lakes, both water bodies showed periods of more than 2 weeks when a maximum of only three species comprised more than 80% of the standing crop. In spite of this, Chico Lake was the only one in which no significant change was recorded in total biomass. Thus, we were able to identify equilibrium phases in the latter lake, which were confirmed by a low coefficient of variation. The presence of an almost permanent ice cover in Chico Lake generated more stable ecological conditions, allowing the development of steady state assemblages. On the contrary, the wind influence in the shallow Antarctic ice free lake (Lake Boeckella) provided continuous mixing events, disrupting the possibility of establishing a steady state.</t>
  </si>
  <si>
    <t>Univ Buenos Aires, Dept Ecol Genet &amp; Evoluc, Fac Ciencias Exactas &amp; Nat, Buenos Aires, DF, Argentina</t>
  </si>
  <si>
    <t>Allende, L (corresponding author), Univ Buenos Aires, Dept Ecol Genet &amp; Evoluc, Fac Ciencias Exactas &amp; Nat, C1428EHA, Buenos Aires, DF, Argentina.</t>
  </si>
  <si>
    <t>10.1023/B:HYDR.0000004283.11230.4a</t>
  </si>
  <si>
    <t>744MU</t>
  </si>
  <si>
    <t>WOS:000186636900018</t>
  </si>
  <si>
    <t>Lawton, K; Robertson, G; Valencia, J; Wienecke, B; Kirkwood, R</t>
  </si>
  <si>
    <t>The status of Black-browed Albatrosses Thalassarche melanophrys at Diego de Almagro Island, Chile</t>
  </si>
  <si>
    <t>IBIS</t>
  </si>
  <si>
    <t>DIOMEDEA-MELANOPHRIS; SOUTH GEORGIA; BIRD-ISLAND; CHRYSOSTOMA</t>
  </si>
  <si>
    <t>Australian Antarctic Div, Kingston, Tas 7050, Australia; Inst Antartico Chileno, Santiago, Chile; Phillip Isl Nat Pk, Cowes, Vic 3922, Australia</t>
  </si>
  <si>
    <t>Robertson, G (corresponding author), Australian Antarctic Div, Channel Highway, Kingston, Tas 7050, Australia.</t>
  </si>
  <si>
    <t>Graham.Robertson@aad.gov.au</t>
  </si>
  <si>
    <t>Valencia, Jose/IAO-2562-2023</t>
  </si>
  <si>
    <t>Kirkwood, Roger/0000-0003-4221-4050</t>
  </si>
  <si>
    <t>BRITISH ORNITHOLOGISTS UNION</t>
  </si>
  <si>
    <t>TRING</t>
  </si>
  <si>
    <t>C/O NATURAL HISTORY MUSEUM, SUB-DEPT ORNITHOLOGY, TRING HP23 6AP, HERTS, ENGLAND</t>
  </si>
  <si>
    <t>0019-1019</t>
  </si>
  <si>
    <t>Ibis</t>
  </si>
  <si>
    <t>10.1046/j.1474-919X.2003.00186.x</t>
  </si>
  <si>
    <t>697ZF</t>
  </si>
  <si>
    <t>WOS:000183972600020</t>
  </si>
  <si>
    <t>Farrace, S; Ferrara, M; De Angelis, C; Trezza, R; Cenni, P; Peri, A; Casagrande, M; De Gennaro, L</t>
  </si>
  <si>
    <t>Reduced sympathetic outflow and adrenal secretory activity during a 40-day stay in the Antarctic</t>
  </si>
  <si>
    <t>INTERNATIONAL JOURNAL OF PSYCHOPHYSIOLOGY</t>
  </si>
  <si>
    <t>extreme environment; antarctica; HRV spectral analysis; hormones; circadian rhythms; neurovegetative; trophotropic</t>
  </si>
  <si>
    <t>HEART-RATE; HORMONES; PROLACTIN; RESPONSES; RESIDENCE; MEN</t>
  </si>
  <si>
    <t>Human adaptation to unknown and extreme environments requires changes in the psychological and physical homeostasis. We previously reported a significant decrease of anterior pituitary and adrenal hormonal levels and a significant modification of psychophysiological correlates of stress, such as galvanic skin response, after exposure to Antarctica, suggesting a possible decrease of individual arousal. The latter was hypothesized to be correlated with a modification of autonomic balance, mainly represented by a possible reduction of adrenergic output. The aim of the present study was to assess the patterns of hormonal circadian rhythms and the autonomic nervous system balance by means of spectral analysis of heart rate variability (HRV). These parameters were evaluated during 3 sessions (baseline, session I and session 2), before, at the beginning and after a 40-day stay in Antarctica (Station of Terra Nova Bay; average temperature in the study period: - 11 degreesC, 24 h of light, sea level). In each of the sessions, 6 healthy male subjects underwent a 24-h electrocardiogram and blood sampling (08.00, 12.00, 16.00, 20.00, 24.00 and 08.00 h) for hormonal determinations. The data showed a remarkable decrease of hormonal levels without significant changes in circadian rhythms. Spectral analysis of HRV showed an imbalance of the autonomic nervous system with a relative significant decrease of the low frequency band (0.1 Hz) in session I and 2 compared to baseline, which can be functionally interpreted as a relative decrement of the sympathetic component. In conclusion, the exposure to a cold and extreme environment seems to affect autonomic balance over a 40-day period. This is followed by a significant reduction of the anterior pituitary and adrenal hormonal secretory patterns with preserved hormonal circadian rhythms (within the same time period of 40 days). This pattern is suggestive of a trophotropic neurovegetative adaptive process. (C) 2003 Elsevier Science B.V. All rights reserved.</t>
  </si>
  <si>
    <t>CSV, Aerosp Med Dept, I-00040 Rome, Italy; ENEA, Italian Natl Program Res Antarctica, Antarctic Project, Rome, Italy; Univ Roma La Sapienza, Dept Psychol, I-00185 Rome, Italy; ENEA, Bologna, Italy; Italian Navy Med Corp, Rome, Italy</t>
  </si>
  <si>
    <t>Italian National Agency New Technical Energy &amp; Sustainable Economics Development; Sapienza University Rome; Italian National Agency New Technical Energy &amp; Sustainable Economics Development</t>
  </si>
  <si>
    <t>CSV, Aerosp Med Dept, Prat Mare AFB, I-00040 Rome, Italy.</t>
  </si>
  <si>
    <t>farrax@inwind.it</t>
  </si>
  <si>
    <t>Casagrande, Maria/ABD-7234-2020; De Gennaro, Luigi/L-8711-2015; Ferrara, Michele/AAB-7574-2022</t>
  </si>
  <si>
    <t>Casagrande, Maria/0000-0002-4430-3367; De Gennaro, Luigi/0000-0003-3613-6631; Ferrara, Michele/0000-0003-2304-7576</t>
  </si>
  <si>
    <t>0167-8760</t>
  </si>
  <si>
    <t>1872-7697</t>
  </si>
  <si>
    <t>INT J PSYCHOPHYSIOL</t>
  </si>
  <si>
    <t>Int. J. Psychophysiol.</t>
  </si>
  <si>
    <t>10.1016/S0167-8760(03)00074-6</t>
  </si>
  <si>
    <t>Psychology, Biological; Neurosciences; Physiology; Psychology; Psychology, Experimental</t>
  </si>
  <si>
    <t>Psychology; Neurosciences &amp; Neurology; Physiology</t>
  </si>
  <si>
    <t>705WQ</t>
  </si>
  <si>
    <t>WOS:000184419400002</t>
  </si>
  <si>
    <t>Sheridan, PP; Loveland-Curtze, J; Miteva, VI; Brenchley, JE</t>
  </si>
  <si>
    <t>Rhodoglobus vestalii gen. nov., sp nov., a novel psychrophilic organism isolated from an Antarctic Dry Valley lake</t>
  </si>
  <si>
    <t>BETA-GALACTOSIDASE; FAMILY MICROBACTERIACEAE; PHYLOGENETIC ANALYSES; CELL-WALL; COMB-NOV; ACID; DIVERSITY; BACTERIA; AL.; 16S</t>
  </si>
  <si>
    <t>A novel, psychrophilic, Gram-positive bacterium (designated strain LV3(T)) from a lake near the McMurdo Ice Shelf, Antarctica, has been isolated and characterized. This organism formed red-pigmented colonies, had an optimal growth temperature of 18 degreesC and grew on a variety of media between -2 and 21 degreesC. Scanning electron micrographs of strain LV3(T) that showed small rods with unusual bulbous protuberances during all phases of growth were of particular interest. The G+C content of the genomic DNA was approximately 62 mol%. The cell walls contained ornithine as the diamino acid. The major fatty acids were anteiso-C-15:0, iso-C-16:0 and anteiso-C-17:0. Cells grown at -2 degreesC contained significant amounts of anteiso-C-15:1. The major menaquinones found in strain LV3(T) were MK-11 and MK-12. Phylogenetic analysis of the 16S rRNA gene sequence indicated that strain LV3(T) was a member of the family Microbacteriaceae and related to, but distinct from, organisms belonging to the genera Agreia, Leifsonia and Subtercola. In addition, alignments of 16S rRNA sequences showed that the sequence of strain LV3(T) contained a 13 by insertion that was found in only a few related sequences. Based on the low growth temperature, unusual cell shape, distinct 16S rRNA gene sequence and structure and cell-wall amino acid and menaquinone compositions, Rhodoglobus vestalii gen. nov., sp. nov. is proposed, with the type strain LV3(T) (= ATCC BAA-534(T) = CIP 107482(T)).</t>
  </si>
  <si>
    <t>Penn State Univ, Dept Biochem &amp; Mol Biol, University Pk, PA 16802 USA; Idaho State Univ, Dept Biol Sci, Pocatello, ID 83209 USA</t>
  </si>
  <si>
    <t>Pennsylvania Commonwealth System of Higher Education (PCSHE); Pennsylvania State University; Pennsylvania State University - University Park; Idaho; Idaho State University</t>
  </si>
  <si>
    <t>Miteva, VI (corresponding author), Penn State Univ, Dept Biochem &amp; Mol Biol, University Pk, PA 16802 USA.</t>
  </si>
  <si>
    <t>Miteva, Vanya/AAD-8254-2021</t>
  </si>
  <si>
    <t>10.1099/ijs.0.02415-0</t>
  </si>
  <si>
    <t>702RR</t>
  </si>
  <si>
    <t>WOS:000184237700006</t>
  </si>
  <si>
    <t>Spring, S; Merkhoffer, B; Weiss, N; Kroppenstedt, RM; Hippe, H; Stackebrandt, E</t>
  </si>
  <si>
    <t>Characterization of novel psychrophilic clostridia from an Antarctic microbial mat:: description of Clostridium frigoris sp nov., Clostridium lacusfryxellense sp nov., Clostridium bowmanii sp nov and Clostridium psychrophilum sp nov and reclassification of Clostridium laramiense as Clostridium estertheticum subsp laramiense subsp nov.</t>
  </si>
  <si>
    <t>RENATURATION RATES; DNA; ACID; PROKARYOTES; BACTERIA; PROPOSAL; BEEF</t>
  </si>
  <si>
    <t>Taxonomic studies were performed on four strains (D-1/D-an/IIT, C/C-an/B1(T), A-1/C-an/C1(T) and A-1/C-an/I-T) of anaerobic, Gram-positive, spore-forming bacteria originally isolated from a mat sample retrieved from a shallow, moated area around Lake Fryxell, an Antarctic freshwater lake. Phylogenetic analyses based on 16S rRNA gene sequence data indicated that these strains are affiliated with cluster I clostridia and form a coherent group with Clostridium estertheticum and Clostridium laramiense. Similarity values among 16S rRNA gene sequences within this assemblage ranged between 96.7 and 99.8%. Despite the close phylogenetic relationship, several distinguishing phenotypic traits were found among the novel strains using a polyphasic approach. All strains were psychrophilic, but the temperature optimum for growth differed markedly, ranging from 4 to 16 degreesC. In addition, substrate utilization patterns, fermentation end products, cellular fatty acid profiles and morphological traits enabled a clear differentiation between the strains. DNA-DNA hybridization experiments revealed that each of the four novel strains represents a distinct species, with DNA-DNA similarity values to related strains in the range 16-62%. In contrast, the type strains of C. estertheticum and C. laramiense shared 79% DNA-DNA similarity, indicating a close relationship at the species level. On the basis of genetic and phenotypic properties, it is proposed to designate four novel species of the genus Clostridium to harbour the newly isolated strains: Clostridium frigoris sp. nov. (type strain D-1/D-an/IIT = DSM 14204(T) = ATCC BAA-579(T)), Clostridium lacusfryxellense sp. nov. (type strain C/C-an/B1(T) = DSM 14205(T) = ATCC BAA-580(T)), Clostridium bowmanii sp. nov. (type strain A-1/C-an/C1(T) = DSM 14206(T) = ATCC BAA-581(T)) and Clostridium psychrophilum sp. nov. (type strain A-1/C-an/I-T = DSM 14207(T) = ATCC BAA-582(T)). It is also proposed to unite C. laramiense and C. estertheticum under C. estertheticum. The subspecies C. estertheticum subsp. laramiense subsp. nov. is established, represented by strain ATCC 51254 7 (= DSM 14864(T)). The type strain of C. estertheticum subsp. estertheticum remains NCIMB 125117 (= DSM 88097).</t>
  </si>
  <si>
    <t>DSMZ, D-38124 Braunschweig, Germany</t>
  </si>
  <si>
    <t>Leibniz Institut fur Deutsche Sammlung von Mikroorganismen und Zellkulturen (DSMZ)</t>
  </si>
  <si>
    <t>Spring, S (corresponding author), DSMZ, Mascheroder Weg 1B, D-38124 Braunschweig, Germany.</t>
  </si>
  <si>
    <t>Spring, Stefan/N-6933-2013</t>
  </si>
  <si>
    <t>Spring, Stefan/0000-0001-6247-0938; Stackebrandt, Erko/0000-0002-6130-760X</t>
  </si>
  <si>
    <t>10.1099/ijs.0.02554-0</t>
  </si>
  <si>
    <t>WOS:000184237700012</t>
  </si>
  <si>
    <t>Bozal, N; Montes, MJ; Tudela, E; Guinea, J</t>
  </si>
  <si>
    <t>Characterization of several Psychrobacter strains isolated from Antarctic environments and description of Psychrobacter luti sp nov and Psychrobacter fozii sp nov.</t>
  </si>
  <si>
    <t>DEOXYRIBONUCLEIC-ACID; ACINETOBACTER; HALOTOLERANT; MORAXELLA; BACTERIA</t>
  </si>
  <si>
    <t>Eleven psychrophilic bacteria isolated from Antarctic coastal marine environments were subjected to a polyphasic taxonomic study. The isolates were oxidase-positive, halotolerant, Gram-negative, non-motile coccobacilli with a strictly oxidative metabolism. The DNA G+C content ranged from 44 to 47 mol%. DNA-DNA hybridization experiments showed six homology groups, two of them related at the species level to the type strain of Psychrobacter immobilis, LMG 7203(T) (70-83 %). The highest DNA relatedness of two other groups to known Psychrobacter species was found to the type strain of Psychrobacter glacincola, LMG 21282(T) (51-57%), and no significant similarity was found between Psychrobacter type strains and the last two groups. The predominant cellular fatty acids detected were typical of the genus Psychrobacter and included 18:1omega9c, 16:1omega7c and 17:1omega8c. 16S rRNA gene sequence analysis confirmed that the strains isolated belonged to the genus Psychrobacter. The results of the study assigned five isolates to P. immobilis, three isolates to P. glacincola and three isolates to novel Psychrobacter species. The names Psychrobacter luti sp. nov. (type strain NF11(T)=LMG 21276(T)=CECT 5885(T)) and Psychrobacter fozii sp. nov. (type strain NF23(T)=LMG 21280(T)=CECT 5889(T)) are proposed for these organisms.</t>
  </si>
  <si>
    <t>Univ Barcelona, Fac Farm, Microbiol Lab, Barcelona 08028, Spain</t>
  </si>
  <si>
    <t>University of Barcelona</t>
  </si>
  <si>
    <t>Univ Barcelona, Fac Farm, Microbiol Lab, Av Joan XII S-N, Barcelona 08028, Spain.</t>
  </si>
  <si>
    <t>jguinea@farmacia.far.ub.es</t>
  </si>
  <si>
    <t>Montes, Mª Jesús/L-6430-2014; DE FEBRER, NURIA N.B.F. BOZAL/L-7456-2014</t>
  </si>
  <si>
    <t>10.1099/ijs.0.02457-0</t>
  </si>
  <si>
    <t>WOS:000184237700023</t>
  </si>
  <si>
    <t>Bain, BA</t>
  </si>
  <si>
    <t>Postembryonic development in the pycnogonid Austropallene cornigera (Family Callipallenidae)</t>
  </si>
  <si>
    <t>pycnogonid; Austropallene; Propallene; typical protonymphon; attaching larva</t>
  </si>
  <si>
    <t>PROPALLENE-LONGICEPS</t>
  </si>
  <si>
    <t>This paper describes the postembryonic development of Austropallene cornigera (Family Callipallenidae), an Antarctic pycnogonid, with emphasis on the previously undescribed larval instars. Comparisons are made where feasible with the development of Propallene longiceps (Family Callipallenidae), a related species with a similar mode of development which was described in detail by Nakamura (1981). Although the development of both species is very similar, there are differences when the instars leave the parent and begin a free-living existence and there are several differences in the development of the walking legs. The P. longiceps larvae leave the parent and begin feeding immediately after becoming a fourth instar while A. cornigera larvae remain on the adult through one more molt. During leg development, both species add a new walking leg pair at each molt, but the new limb lacks either one (P. longiceps) or two (A. cornigera) segments. At each subsequent molt, the previously added walking leg gains the missing segment(s) and the next limb pair appears, complete except for the missing segment(s). This process continues until all four pairs of walking legs have appeared and have acquired the adult number of segments.</t>
  </si>
  <si>
    <t>Monash Univ, Sch Biol Sci, Clayton, Vic 3800, Australia</t>
  </si>
  <si>
    <t>Monash University</t>
  </si>
  <si>
    <t>Bain, BA (corresponding author), Monash Univ, Sch Biol Sci, Wellington Rd, Clayton, Vic 3800, Australia.</t>
  </si>
  <si>
    <t>Bain, Bonnie/0000-0003-3043-7839</t>
  </si>
  <si>
    <t>10.1080/07924259.2003.9652539</t>
  </si>
  <si>
    <t>710PL</t>
  </si>
  <si>
    <t>WOS:000184688600002</t>
  </si>
  <si>
    <t>Ozolin, YE; Karol', IL; Kiselev, AA; Zubov, VA</t>
  </si>
  <si>
    <t>Trajectory modeling of air mass transport and photochemistry in the antarctic stratospheric polar vortex</t>
  </si>
  <si>
    <t>IZVESTIYA ATMOSPHERIC AND OCEANIC PHYSICS</t>
  </si>
  <si>
    <t>TROPOSPHERE; OZONE; UARS</t>
  </si>
  <si>
    <t>A brief description of a box model of gas- and hetero-phase photochemistry in the air masses transported along trajectories in the Antarctic lower stratosphere is presented. The trajectories were calculated from the UKMO reanalysis global meteorological data for the period between August and October, 1992. An analysis of the trajectories originating at different points of the Antarctic stratospheric polar vortex showed that the trajectories are enclosed by the vortex during a couple of months and almost uniformly cover its whole area. This allows us to obtain three-dimensional concentration fields of ozone and ozone-active gases with different periods of averaging; as a whole, these fields are consistent with the measurement data available and fully reflect the processes in the region of the Antarctic ozone hole.</t>
  </si>
  <si>
    <t>Russian Acad Sci, Voeikov Main Geophys Observ, St Petersburg 194021, Russia</t>
  </si>
  <si>
    <t>Ozolin, YE (corresponding author), Russian Acad Sci, Voeikov Main Geophys Observ, Ul Karbysheva 7, St Petersburg 194021, Russia.</t>
  </si>
  <si>
    <t>Kiselev, Andrey A/K-8618-2018</t>
  </si>
  <si>
    <t>0001-4338</t>
  </si>
  <si>
    <t>IZV ATMOS OCEAN PHY+</t>
  </si>
  <si>
    <t>Izv. Atmos. Ocean. Phys.</t>
  </si>
  <si>
    <t>Meteorology &amp; Atmospheric Sciences; Oceanography</t>
  </si>
  <si>
    <t>711YA</t>
  </si>
  <si>
    <t>WOS:000184767600006</t>
  </si>
  <si>
    <t>Jenouvrier, S; Barbraud, C; Weimerskirch, H</t>
  </si>
  <si>
    <t>Effects of climate variability on the temporal population dynamics of southern fulmars</t>
  </si>
  <si>
    <t>Antarctic environment; demography; matrix population model; seabirds; survival analysis</t>
  </si>
  <si>
    <t>SEA-ICE EXTENT; ANTARCTIC PENGUIN POPULATIONS; BREEDING SEABIRDS; ECOSYSTEM; SURVIVAL; OCEAN; CONSEQUENCES; ADELIE; PETREL; KRILL</t>
  </si>
  <si>
    <t>1. Ecological and population processes are affected by large-scale climatic fluctuations, and top predators such as seabirds can provide an integrative view on the consequences of environmental variability on ecosystems. Here, we examine the dynamics of a southern fulmar population in Antarctica over a 39-year period and evaluate the impact of environmental variability on the life history traits of this top predator species. 2. Between 1963 and 2002, the number of breeding pairs fluctuated between seven and 53 in relation to variations in sea ice concentration, and increased overall (annual growth rate: 1.0035). Breeding performance tended to be lower in years with low sea ice concentration. The proportion of birds attempting to breed varied strongly from one year to the next despite the birds were alive, indicating strong environmental forcing on the decision to breed. The number of new local recruits and immigrants was correlated highly with the number of local breeders, and capture probabilities were positively related to the breeding population size. Local recruitment, number of local breeders and proportion of birds attempting to breed were lower when sea ice concentration during summer was low. 3. Adult survival between 1964 and 2002 was on average 0.923 +/- 0.006, and decreased during years with high sea surface temperature and low sea ice concentration. 4. Modelled population growth rate, estimated using matrix models, of the population was 0.9728, a difference of 3.6% compared to the observed rate of increase. This discrepancy is due probably to the immigration rate (3 +/- 3%). 5. Demographic parameters were affected by sea ice concentration and sea surface temperature anomalies, probably through an impact on krill availability, the main prey of southern fulmars. During warm anomalies, birds skip breeding probably because the food availability was low and limiting for the highly energy demanding reproductive activities. 6. We also emphasize that demographic parameters were very low during the period 1975-80 and showed a higher variability after 1980, which could be interpreted in the context of a regime shift. Our study indicates that the southern fulmar population dynamics may be very susceptible to environmental variability. Further long-lasting warm anomalies are likely to affect negatively their populations.</t>
  </si>
  <si>
    <t>CNRS, Ctr Etude Biol Chize, F-79360 Billiers En Bois, France</t>
  </si>
  <si>
    <t>CNRS, Ctr Etude Biol Chize, F-79360 Billiers En Bois, France.</t>
  </si>
  <si>
    <t>jenouvrier@cebc.cnrs.fr</t>
  </si>
  <si>
    <t>Weimerskirch, Henri/F-5562-2013; Weimerskirch, Henri/K-7306-2019; Barbraud, Christophe/A-5870-2012</t>
  </si>
  <si>
    <t>Weimerskirch, Henri/0000-0002-0457-586X; Barbraud, Christophe/0000-0003-0146-212X; jenouvrier, stephanie/0000-0003-3324-2383</t>
  </si>
  <si>
    <t>10.1046/j.1365-2656.2003.00727.x</t>
  </si>
  <si>
    <t>697XY</t>
  </si>
  <si>
    <t>WOS:000183969600005</t>
  </si>
  <si>
    <t>Wanntorp, L; Wanntorp, HE</t>
  </si>
  <si>
    <t>The biogeography of Gunnera L.:: vicariance and dispersal</t>
  </si>
  <si>
    <t>JOURNAL OF BIOGEOGRAPHY</t>
  </si>
  <si>
    <t>Antarctic; biogeography; dispersal; geology; Gunnera; vicariance</t>
  </si>
  <si>
    <t>NUCLEAR RIBOSOMAL DNA; LONG-DISTANCE DISPERSAL; NEW-ZEALAND; PACIFIC BIOGEOGRAPHY; NOTHOFAGUS; SEQUENCES; PHYLOGENY; RBCL; EVOLUTION; ATPB</t>
  </si>
  <si>
    <t>Aim The genus Gunnera is distributed in South America, Africa and the Australasian region, a few species reaching Hawaii and southern Mexico in the North. A cladogram was used to (1) discuss the biogeography of Gunnera and (2) subsequently compare this biogeographical pattern with the geological history of continents and the patterns reported for other Southern Hemisphere organisms. Location Africa, northern South America, southern South America, Tasmania, New Zealand, New Guinea/Malaya, Hawaii, North America, Antarctica. Methods A phylogenetic analysis of twenty-six species of Gunnera combining morphological characters and new as well as published sequences of the ITS region, rbcL and the rps16 intron, was used to interpret the biogeographical patterns in Gunnera . Vicariance was applied in the first place and dispersal was only assumed as a second best explanation. Results The Uruguayan/Brazilian Gunnera herteri Osten (subgenus Ostenigunnera Mattfeld) is sister to the rest of the genus, followed sequentially upwards by the African G. perpensa L. (subgenus Gunnera ), in turn sister to all other, American and Australasian, species. These are divided into two clades, one containing American/Hawaiian species, the other containing all Australasian species. Within the Australasian clade, G. macrophylla Blume (subgenus Pseudogunnera Schindler), occurring in New Guinea and Malaya, is sister to a clade including the species from New Zealand and Tasmania (subgenus Milligania Schindler). The southern South American subgenus Misandra Schindler is sister to a clade containing the remaining American, as well as the Hawaiian species (subgenus Panke Schindler). Within subgenus Panke , G. mexicana Brandegee, the only North American species in the genus, is sister to a clade wherein the Hawaiian species are basal to all south and central American taxa. Main conclusions According to the cladogram, South America appears in two places, suggesting an historical explanation for northern South America to be separate from southern South America. Following a well-known biogeographical pattern of vicariance, Africa is the sister area to the combined southern South America/Australasian clade. Within the Australasian clade, New Zealand is more closely related to New Guinea/Malaya than to southern South America, a pattern found in other plant cladograms, contradictory to some of the patterns supported by animal clades and by the geological hypothesis, respectively. The position of the Tasmanian G. cordifolia , nested within the New Zealand clade indicates dispersal of this species to Tasmania. The position of G. mexicana , the only North American species, as sister to the remaining species of subgenus Panke together with the subsequent sister relation between Hawaii and southern South America, may reflect a North American origin of Panke and a recolonization of South America from the north. This is in agreement with the early North American fossil record of Gunnera and the apparent young age of the South American clade.</t>
  </si>
  <si>
    <t>Stockholm Univ, Dept Bot, SE-10691 Stockholm, Sweden; Swedish Museum Nat Hist, Mol Systemat Lab, SE-10691 Stockholm, Sweden</t>
  </si>
  <si>
    <t>Stockholm University; Swedish Museum of Natural History</t>
  </si>
  <si>
    <t>Wanntorp, L (corresponding author), Stockholm Univ, Dept Bot, SE-10691 Stockholm, Sweden.</t>
  </si>
  <si>
    <t>0305-0270</t>
  </si>
  <si>
    <t>J BIOGEOGR</t>
  </si>
  <si>
    <t>J. Biogeogr.</t>
  </si>
  <si>
    <t>10.1046/j.1365-2699.2003.00895.x</t>
  </si>
  <si>
    <t>Ecology; Geography, Physical</t>
  </si>
  <si>
    <t>694DT</t>
  </si>
  <si>
    <t>WOS:000183759100002</t>
  </si>
  <si>
    <t>Hodum, PJ; Weathers, WW</t>
  </si>
  <si>
    <t>Energetics of nestling growth and parental effort in Antarctic fulmarine petrels</t>
  </si>
  <si>
    <t>doubly labeled water; reproductive effort; field metabolic rate; nestling energy budget; parental effort; Antarctic fulmarine petrel; Fulmarus glacialoides; Thalassoica antarctica; Daption capense; Pagodroma nivea</t>
  </si>
  <si>
    <t>DAILY ENERGY-EXPENDITURE; METABOLIC RATES; BODY-WATER; THERMOREGULATION; TURNOVER; FIELD</t>
  </si>
  <si>
    <t>Antarctic fulmarine petrels breed in some of the coldest conditions encountered by any bird and their young grow twice as fast as predicted allometrically. To examine the energetic consequences of fast growth in a cold environment, we used the doubly labeled water technique to measure field metabolic rates of adults (three species) and different-aged nestlings (four species) of Antarctic fulmarine petrels in the Rauer Islands, East Antarctica: Antarctic fulmar Fulmarus glacialoides, Antarctic petrel Thalassoica antarctica, Cape petrel Daption capense and snow petrel Pagodroma nivea. We used our data to assess parental effort and, together with literature values on nestling growth and resting metabolic rate, to construct and partition nestling energy budgets. Nestling total energy expenditure and peak daily metabolic rate were significantly higher than predicted allometrically (33-73% and 17-66% higher, respectively), and the relative cost of growth in nestling petrels was among the highest reported, for birds (54-72 kJ g(-1)). Parental effort during the nestling-feeding period was identical in adult Cape and Antarctic petrels (3.5 times basal metabolic rate, BMR), and was somewhat (but not significantly) higher in snow petrels (4.6 times BMR). These values are comparable to those of other high-latitude procellariiform birds. Thus, despite the constraints of a compressed breeding season, cold temperatures and fast-growing nestlings, adult Antarctic fulmarine petrels do not work harder than procellariid adults whose chicks grow much more slowly. Our findings suggest that obtaining sufficient food is generally not a constraint for adult fulmarine petrels and that factors operating at the tissue level limit nestling growth rate.</t>
  </si>
  <si>
    <t>Univ Calif Davis, Dept Anim Sci, Davis, CA 95616 USA; Australian Antarctic Div, Kingston, Tas 7050, Australia</t>
  </si>
  <si>
    <t>University of California System; University of California Davis; Australian Antarctic Division</t>
  </si>
  <si>
    <t>Univ Calif Davis, Dept Anim Sci, 1 Shields Ave, Davis, CA 95616 USA.</t>
  </si>
  <si>
    <t>phodum@csulb.edu</t>
  </si>
  <si>
    <t>10.1242/jeb.00394</t>
  </si>
  <si>
    <t>701NE</t>
  </si>
  <si>
    <t>WOS:000184173000013</t>
  </si>
  <si>
    <t>Kock, KH; Everson, I</t>
  </si>
  <si>
    <t>Shedding new light on the life cycle of mackerel icefish in the Southern Ocean</t>
  </si>
  <si>
    <t>JOURNAL OF FISH BIOLOGY</t>
  </si>
  <si>
    <t>Antarctic fish; fishing mortality; icefish; low-Antarctic; natural mortality</t>
  </si>
  <si>
    <t>ANTARCTIC FUR SEALS; ARCTOCEPHALUS-GAZELLA; CHAMPSOCEPHALUS-GUNNARI; ELEPHANT ISLAND; MITOCHONDRIAL PHYLOGENY; INTERANNUAL VARIATION; GENTOO PENGUIN; LAURIE ISLAND; NELSON ISLAND; HEARD ISLAND</t>
  </si>
  <si>
    <t>Mackerel icefish have a widespread distribution in the Atlantic mid Indian Ocean sectors of the low-Antarctic region. Biological characteristics differ considerably between populations in the southern Scotia Arc and those living further to the north. Fish living in the north mature 1 year earlier than in the south. They have a much shorter life span and die after they have spawned two to three limes. The number of eggs produced per gram of body mass is higher in the north. Stocks have declined ill most parts of the distribution range due to the impact of fishing and due to natural causes. Increases in populations of Antarctic fur seals at South Georgia and parts of the Indian Ocean appear to have led to increased predation of stocks of icefish. Shifts in hydrological regimes in the northern part of the distributional range either started to lead or will lead to deteriorating living conditions for mackerel icefish in the near future. Fish stock assessment needs to take these constraints into consideration when providing advice on total allowable catches for fisheries management. (C) The Fisheries Society of the British Isles.</t>
  </si>
  <si>
    <t>Inst Seefischerei, Bundesforschungsanstalt Fischerei, Palmaille 9, D-22767 Hamburg, Germany; British Antarctic Survey, Cambridge CB3 OET, England</t>
  </si>
  <si>
    <t>Inst Seefischerei, Bundesforschungsanstalt Fischerei, Palmaille 9, D-22767 Hamburg, Germany.</t>
  </si>
  <si>
    <t>kallikock@web.de</t>
  </si>
  <si>
    <t>0022-1112</t>
  </si>
  <si>
    <t>1095-8649</t>
  </si>
  <si>
    <t>J FISH BIOL</t>
  </si>
  <si>
    <t>J. Fish Biol.</t>
  </si>
  <si>
    <t>10.1046/j.1095-8649.2003.00150.x</t>
  </si>
  <si>
    <t>726ZZ</t>
  </si>
  <si>
    <t>WOS:000185632600001</t>
  </si>
  <si>
    <t>Davison, W; Franklin, CE</t>
  </si>
  <si>
    <t>Hypertension in Pagothenia borchgrevinki caused by X-cell disease</t>
  </si>
  <si>
    <t>Antarctic; blood pressure; cardiovascular; exercise; hypertension; X-cell</t>
  </si>
  <si>
    <t>BLOODED ANTARCTIC FISHES; GILL DISEASE; TELEOST; TUMORS</t>
  </si>
  <si>
    <t>Approximately 15% of a population of the cryopelagic nototheniid fish Pagothenia borchgrevinki, found constantly swimming immediately beneath the annual fast ice, in McMudro Sound. Ross Sea, Antarctica, was affected by X-cell gill disease. This disease affected blood flow through the gill lamellae, and this in turn affected oxygen uptake. Exercise caused increases in heart rate and ventral aortic blood pressure. Heart rate increased from 15.1 +/- 1.55 to 23.1 +/- 0.93 beats min(-1) in healthy fish, with a similar increase from 15.1 +/- 1.55 to 23.1 +/- 0.93 beats min(-1) in healthy fish, with a similar increase (to 24.6 +/- 0.26 beats min(-1)) in X-cell-affected animals. In healthy fish, pressures rose with exercise (from 2.72 +/- 0.11 to 3.75 +/- 0.19 kPa) and then rapidly returned to resting levels during recovery. In X-cell fish pressures rose during exercise, but then continued to rise, to reach a high of 4.18 +/- 0.13 kPa, close to the predicted maximum pressure able to be generated by these hearts. Recovery was rapid in healthy fish, but was prolonged in diseased animals. As they are constantly swimming, there is the potential that X-cell-affected fish suffer from chronic hypertension. (C) 2003 The Fisheries Society of the British Isles.</t>
  </si>
  <si>
    <t>Univ Canterbury, Dept Zool, Christchurch, New Zealand; Univ Queensland, Sch Life Sci, Brisbane, Qld, Australia</t>
  </si>
  <si>
    <t>University of Canterbury; University of Queensland</t>
  </si>
  <si>
    <t>Davison, W (corresponding author), Univ Canterbury, Dept Zool, Private Bag 4800, Christchurch, New Zealand.</t>
  </si>
  <si>
    <t>Franklin, Craig/G-7343-2012</t>
  </si>
  <si>
    <t>Franklin, Craig/0000-0003-1315-3797</t>
  </si>
  <si>
    <t>10.1046/j.1095-8649.2003.00135.x</t>
  </si>
  <si>
    <t>WOS:000185632600010</t>
  </si>
  <si>
    <t>Doble, MJ; Coon, MD; Wadhams, P</t>
  </si>
  <si>
    <t>Pancake ice formation in the Weddell Sea</t>
  </si>
  <si>
    <t>pancake ice; frazil ice; ice formation</t>
  </si>
  <si>
    <t>HEAT-FLUX; COASTAL POLYNYAS; ANTARCTIC OCEAN; MIXED-LAYER; FRAZIL ICE; MODEL; FIELD; THICKNESS</t>
  </si>
  <si>
    <t>The ice formation resulting from two low temperature events at the Weddell Sea ice edge during April 2000 is presented. Pancake and frazil ice were sampled at seven stations at varying distances from the ice edge. The ice cover was further characterized from above, using helicopter aerial photography, and from below, using a remotely operated vehicle. Previously undescribed two-layer pancake types were observed and classified. A novel pancake growth mechanism is introduced to account for these, involving the washing of frazil ice over the pancake top surface and its subsequent freezing. The process was directly observed in ice tank experiments. Layer thicknesses seen in the field were compared to the ice growth that would occur both under calm conditions and from free-surface frazil ice growth. Classical, bottom accretion, pancake growth was found to proceed at a rate similar to that of thin congelation ice. Top-layer growth was more rapid, at approximately double the congelation rate. Overall ice volume production was similar to congelation ice for the thin pancakes considered (similar to20 cm), though subsequent thickening was expected to be faster as the rapid top-layer process continued and the equivalent congelation growth slowed. It is suggested that parameterization of this new process is important for models that aim to simulate the rapid advance and thickening of wave-influenced ice covers.</t>
  </si>
  <si>
    <t>Scottish Assoc Marine Sci, Dunstaffnage Marine Lab, Oban PA34 1QA, Argyll, Scotland; NW Res Associates Inc, Bellevue, WA 98009 USA; Univ Cambridge, Scott Polar Res Inst, Cambridge CB2 1ER, England; Univ Cambridge, Dept Appl Math &amp; Theoret Phys, Cambridge CB3 9EW, England</t>
  </si>
  <si>
    <t>UHI Millennium Institute; NorthWest Research Associates; University of Cambridge; University of Cambridge</t>
  </si>
  <si>
    <t>Scottish Assoc Marine Sci, Dunstaffnage Marine Lab, Oban PA34 1QA, Argyll, Scotland.</t>
  </si>
  <si>
    <t>majd@dml.ac.uk; max@nwra.com; Peter.Wadhams@dml.ac.uk</t>
  </si>
  <si>
    <t>Doble, Martin J/A-9915-2012</t>
  </si>
  <si>
    <t>Doble, Martin/0000-0001-8185-6510</t>
  </si>
  <si>
    <t>10.1029/2002JC001373</t>
  </si>
  <si>
    <t>698MW</t>
  </si>
  <si>
    <t>WOS:000184004200002</t>
  </si>
  <si>
    <t>Cabeçadas, G; Brogueira, MJ; Gonçalves, C</t>
  </si>
  <si>
    <t>Intermediate water masses off south-southwest Portugal:: Chemical tracers</t>
  </si>
  <si>
    <t>JOURNAL OF MARINE RESEARCH</t>
  </si>
  <si>
    <t>EASTERN NORTH-ATLANTIC; MEDITERRANEAN OUTFLOW; FLOW PATTERNS; OCEAN; CIRCULATION; NUTRIENT; GIBRALTAR; STRAIT; SEA</t>
  </si>
  <si>
    <t>Biogeochemical tracers, as dissolved oxygen and nutrients, were measured during several surveys carried out between 1999 and 2001, off south-southwestern Portugal. The dense vertical and horizontal sampling allows the extensions of intermediate water masses present in the region to be resolved. A subsurface minimum salinity water layer, exhibiting values of apparent oxygen utilization (AOU) in the range 40-60 mumol/kg and intruding into the study area mainly from the south-southwest, is proposed to be a remnant of the Subarctic Intermediate Water (SAIW). A deeper salinity minimum displaying high concentrations of nutrients and AOU (similar to100 mumol/kg) and identified as a branch of the Antarctic Intermediate Water (AAIW), is observed to derive from the western African coast and to penetrate the area predominantly from the south-southeastern side. The salty and warm Mediterranean Water (MW) present in the same density range as the fresher intermediate waters, reveals differentiated chemical properties at the various depths depending on the surrounding waters. Analysis of water masses gives an indication that the collapse of the fresher waters into a narrow range of salinity values (35.58-35.64) at intermediate levels is favored by the strong presence of the MW outflow, and that the admixture of the fresher waters with the MW outflow very likely induces the formation, splitting and spreading of several MW cores extending westwards along the Portuguese coast.</t>
  </si>
  <si>
    <t>IPIMAR, Dept Aquat Environm, P-1449006 Lisbon, Portugal</t>
  </si>
  <si>
    <t>Portuguese Institute of Sea &amp; Fisheries Research (IPIMAR)</t>
  </si>
  <si>
    <t>Cabeçadas, G (corresponding author), IPIMAR, Dept Aquat Environm, Av Brasilia, P-1449006 Lisbon, Portugal.</t>
  </si>
  <si>
    <t>Goncalves, Celia/0000-0001-5524-1256</t>
  </si>
  <si>
    <t>SEARS FOUNDATION MARINE RESEARCH</t>
  </si>
  <si>
    <t>NEW HAVEN</t>
  </si>
  <si>
    <t>YALE UNIV, KLINE GEOLOGY LAB, 210 WHITNEY AVENUE, NEW HAVEN, CT 06520-8109 USA</t>
  </si>
  <si>
    <t>0022-2402</t>
  </si>
  <si>
    <t>J MAR RES</t>
  </si>
  <si>
    <t>J. Mar. Res.</t>
  </si>
  <si>
    <t>10.1357/002224003322384924</t>
  </si>
  <si>
    <t>727VY</t>
  </si>
  <si>
    <t>WOS:000185682600006</t>
  </si>
  <si>
    <t>Hense, I; Timmermann, R; Beckmann, A; Bathmann, UV</t>
  </si>
  <si>
    <t>Regional ecosystem dynamics in the ACC: simulations with a three-dimensional ocean-plankton model</t>
  </si>
  <si>
    <t>JOURNAL OF MARINE SYSTEMS</t>
  </si>
  <si>
    <t>Antarctic Polar Front; ocean-plankton model; phytoplankton distribution; iron limitation</t>
  </si>
  <si>
    <t>ANTARCTIC CIRCUMPOLAR CURRENT; POLAR FRONTAL ZONE; 6 DEGREES W; SOUTHERN-OCEAN; ATLANTIC SECTOR; EXPORT PRODUCTION; NUMERICAL-MODEL; PHYTOPLANKTON BIOMASS; GRAZING IMPACT; SURFACE WATERS</t>
  </si>
  <si>
    <t>Within the high nutrient-low chlorophyll regime of the Antarctic Circumpolar Current (ACC), high phytoplankton concentrations are frequently observed in the vicinity of the Antarctic Polar Front (APF). As is typical for frontal systems, hydrography in this region is characterized by meanders and eddies as well as up- and downwelling cells which redistribute nutrients and influence the depth of the euphotic zone. To study the processes leading to the observed phytoplankton distribution, a coupled ocean-plankton model for ecosystem studies in the ACC has been developed. The ocean component is an eddy-resolving version of the s-Coordinate Primitive Equation Model (SPEM). The model has a horizontal resolution of 1/12degrees and a vertical resolution increased near the surface. The biological model (BIMAP) comprises two biogeochemical cycles-silica and nitrogen-and a prognostic iron compartment to include possible effects of micronutrient limitation. Model results indicate that part of the ecosystem's regional variability can be attributed to the effect of vertical and horizontal advection. However, frontal dynamics alone cannot explain the observed enhanced concentrations of phytoplankton biomass near the APF and the minima in the northern and southern ACC. Only when iron limitation is taken into account, the model simulates plankton concentrations in close agreement with observations during the SO-JGOFS cruises. While in the northern ACC phytoplankton growth is limited by silicate, primary production is limited by iron south of the APE Near the APF, mesoscale iron upwelling enhances primary production, leading to increased phyto- and zooplankton biomass. The meridional structure with two plankton maxima is closely linked to the cross-front overturning circulation. This double-cell circulation with two upwelling branches is caused by the northward sloping large-scale bottom topography. (C) 2003 Elsevier B.V. All rights reserved.</t>
  </si>
  <si>
    <t>Alfred Wegener Inst Polar &amp; Marine Res, D-2850 Bremerhaven, Germany</t>
  </si>
  <si>
    <t>Finnish Inst Marine Res, Lyypekinkuja 3A,POB 33, FIN-00931 Helsinki, Finland.</t>
  </si>
  <si>
    <t>Inga.Hense@fimr.fi</t>
  </si>
  <si>
    <t>0924-7963</t>
  </si>
  <si>
    <t>1879-1573</t>
  </si>
  <si>
    <t>J MARINE SYST</t>
  </si>
  <si>
    <t>J. Mar. Syst.</t>
  </si>
  <si>
    <t>10.1016/S0924-7963(03)00063-0</t>
  </si>
  <si>
    <t>Geosciences, Multidisciplinary; Marine &amp; Freshwater Biology; Oceanography</t>
  </si>
  <si>
    <t>Geology; Marine &amp; Freshwater Biology; Oceanography</t>
  </si>
  <si>
    <t>710ZW</t>
  </si>
  <si>
    <t>WOS:000184713500003</t>
  </si>
  <si>
    <t>Bianciotto, OA; Pinedo, LB; San Roman, NA; Blessio, AY; Collantes, MB</t>
  </si>
  <si>
    <t>The effect of natural UV-B radiation on a perennial Salicornia salt-marsh in Bahia San Sebastian, Tierra del Fuego, Argentina:: a 3-year field study</t>
  </si>
  <si>
    <t>JOURNAL OF PHOTOCHEMISTRY AND PHOTOBIOLOGY B-BIOLOGY</t>
  </si>
  <si>
    <t>Salicornia ambigua; Puccinellia; UV-B radiation; ozone depletion; UV-screening; shoot density; phenology</t>
  </si>
  <si>
    <t>SOLAR ULTRAVIOLET-RADIATION; OZONE DEPLETION; GROWTH; PHOTOSYNTHESIS; ANTARCTICA; PENETRATION; ECOSYSTEMS; GRADIENT; PLANTS</t>
  </si>
  <si>
    <t>The Antarctic ozone hole and a general depletion of the stratospheric ozone layer cause increased levels of ultraviolet-B solar radiation (UV-B) over Tierra del Fuego, the southernmost tip of South America. For three consecutive growing seasons (1997-2000), we studied the biological impacts (morphology, physiology, demography and phenology) of natural UV-B radiation on a perennial Salicornia ambigua Michx. community in San Sebastian Bay (53degrees S and 68degrees W), Tierra del Fuego, Argentina. This is the first UV-B screening experiment on a subantarctic halophytic community. The shortwave UV-B spectrum (280 to 320 nm) was excluded by covering plots with UV-B blocking film (Mylar). These plots were compared to controls covered with UV-B transparent (Aclar) plastic screens, and unscreened plots. Shoot length in Salicornia was not affected by UV-B. Exposure to natural UV-B reduced biomass and density (by 17% and 38%, respectively). Concentration of UV-shielding pigments and cuticle thickness were both significantly higher (25-48% and 21-40%, respectively) in plants receiving ambient UV-B. The increase in cuticle thickness persisted throughout the growing season, whereas pigment concentration was higher at the beginning of the growing season. Also, the number of dead shoots was higher in plants exposed to UV-B. At the end of the growing season (March) shoot mortality was higher in plants exposed to ambient UV-B, and post-flowering senescence was 30 days earlier. Slight changes in the relative composition of Salicornia to Puccinellia were seen. The reduction observed in Salicornia shoot density under ambient UV-B was cumulative over time; 23% in the first growing-season, rising to 38% by the third growing-season. A similar incremental increase in pigment absorption at 305 nm was seen; 25% in the first and 48% in the third growing season. (C) 2003 Elsevier B.V. All rights reserved.</t>
  </si>
  <si>
    <t>Consejo Nacl Invest Cient &amp; Tecn, Ctr Austral Invest Cient, RA-9410 Ushuaia, Tierra Fuego, Argentina; Consejo Nacl Invest Cient &amp; Tecn, CEFYBO, RA-1033 Buenos Aires, DF, Argentina</t>
  </si>
  <si>
    <t>Consejo Nacional de Investigaciones Cientificas y Tecnicas (CONICET); Consejo Nacional de Investigaciones Cientificas y Tecnicas (CONICET)</t>
  </si>
  <si>
    <t>Consejo Nacl Invest Cient &amp; Tecn, Ctr Austral Invest Cient, CC 92, RA-9410 Ushuaia, Tierra Fuego, Argentina.</t>
  </si>
  <si>
    <t>o_bianciotto@gmx.net</t>
  </si>
  <si>
    <t>ELSEVIER SCIENCE SA</t>
  </si>
  <si>
    <t>LAUSANNE</t>
  </si>
  <si>
    <t>PO BOX 564, 1001 LAUSANNE, SWITZERLAND</t>
  </si>
  <si>
    <t>1011-1344</t>
  </si>
  <si>
    <t>1873-2682</t>
  </si>
  <si>
    <t>J PHOTOCH PHOTOBIO B</t>
  </si>
  <si>
    <t>J. Photochem. Photobiol. B-Biol.</t>
  </si>
  <si>
    <t>10.1016/S1011-1344(03)00089-7</t>
  </si>
  <si>
    <t>Biochemistry &amp; Molecular Biology; Biophysics</t>
  </si>
  <si>
    <t>722DQ</t>
  </si>
  <si>
    <t>WOS:000185360500006</t>
  </si>
  <si>
    <t>Choboter, PF; Swaters, GE</t>
  </si>
  <si>
    <t>Two-layer models of abyssal equator-crossing flow</t>
  </si>
  <si>
    <t>ANTARCTIC BOTTOM WATER; WESTERN BOUNDARY CURRENT; SLOPING BOTTOM; POTENTIAL-ENSTROPHY; SAMOAN PASSAGE; BRAZIL BASIN; COLD EDDIES; DEEP; CIRCULATION; ATLANTIC</t>
  </si>
  <si>
    <t>The role of baroclinicity in the dynamics of abyssal equator-crossing flows is examined by studying two-layer models of the flow valid in the equatorial region. Three new analytical models are derived from two-layer shallow-water theory. One of these models ( Equatorial Model I, or EMI) reduces to the Swaters and Flierl coupled model in the midlatitude limit. In the equatorial limit, the lower-layer dynamics of EMI are that of the complete shallow-water equations, and the upper-layer dynamics are built upon quasigeostrophic potential vorticity conservation with a balance equation to relate the streamfunction and pressure. Simple numerical simulations are performed using this model to investigate its behavior in certain idealized situations, including equator-crossing lenses and currents. In the midlatitudes, the dynamics of EMI are characterized by strong baroclinic interactions between the layers, while near the equator all three models exhibit a partial decoupling of the layers. This motivates the use of a one-layer reduced-gravity model to simulate abyssal dynamics in the immediate vicinity of the equator. Such simulations are reported elsewhere. A uniformly valid metamodel is derived that contains all of the necessary terms so that it may reduce, in the appropriate parameter limit, to any of the three models derived here.</t>
  </si>
  <si>
    <t>Univ Alberta, Dept Math &amp; Stat Sci, Inst Appl Math, Edmonton, AB T6G 2G1, Canada; Univ Alberta, Inst Geophys Res, Edmonton, AB, Canada; Oregon State Univ, Coll Ocean &amp; Atmospher Sci, Corvallis, OR 97331 USA</t>
  </si>
  <si>
    <t>University of Alberta; University of Alberta; Oregon State University</t>
  </si>
  <si>
    <t>Swaters, GE (corresponding author), Univ Alberta, Dept Math &amp; Stat Sci, Inst Appl Math, Edmonton, AB T6G 2G1, Canada.</t>
  </si>
  <si>
    <t>Choboter, Paul/0000-0002-5062-5856</t>
  </si>
  <si>
    <t>10.1175/1520-0485(2003)033&lt;1401:TMOAEF&gt;2.0.CO;2</t>
  </si>
  <si>
    <t>700EV</t>
  </si>
  <si>
    <t>WOS:000184100400007</t>
  </si>
  <si>
    <t>Saenko, OA; Weaver, AJ; England, MH</t>
  </si>
  <si>
    <t>A region of enhanced northward Antarctic Intermediate Water transport in a coupled climate model</t>
  </si>
  <si>
    <t>SEA-ICE MOTION; OCEAN; CIRCULATION</t>
  </si>
  <si>
    <t>A global coupled model is used to examine pathways of freshwater transport in the Southern Ocean. On the background of a strong zonal freshwater transport along the pathway of the Antarctic Circumpolar Current (ACC), there are meridional freshwater flows distributed nonuniformly around the globe, including in the upper ocean. The analysis does not support a simple two-dimensional scheme of Antarctic Intermediate Water (AAIW) formation, according to which the fresh AAIW forms uniformly around the circumpolar ocean. Rather, a more complex three-dimensional picture of the freshwater transport in the Southern Ocean is revealed, with enhanced AAIW formation in the southeast Pacific Ocean both north and south of the Drake Passage latitudes. Freshened by intense precipitation and surface waters from around Antarctica, the ACC transports freshwater from the northwest to the southeast toward Drake Passage. There, a fraction of this freshwater is transported southward across 60degreesS with the subsurface ACC and the eddy-induced flow. West of the Antarctic Peninsula, the freshwater subducts to intermediate depths and turns northward, following the ACC and contributing to the formation of AAIW. This analysis supports previous results of enhanced subduction localized to the southern tip of South America.</t>
  </si>
  <si>
    <t>Univ Victoria, Sch Earth &amp; Ocean Sci, Victoria, BC V8W 3P6, Canada; Univ New S Wales, Ctr Environm Modelling &amp; Predict, Sydney, NSW, Australia</t>
  </si>
  <si>
    <t>University of Victoria; University of New South Wales Sydney</t>
  </si>
  <si>
    <t>England, Matthew/A-7539-2011; Weaver, Andrew J/E-7590-2011</t>
  </si>
  <si>
    <t>England, Matthew/0000-0001-9696-2930; Weaver, Andrew J/0000-0001-8919-3598</t>
  </si>
  <si>
    <t>1520-0485</t>
  </si>
  <si>
    <t>10.1175/1520-0485(2003)033&lt;1528:AROENA&gt;2.0.CO;2</t>
  </si>
  <si>
    <t>WOS:000184100400014</t>
  </si>
  <si>
    <t>Rapela, CW; Pankhurst, RJ; Fanning, CM; Grecco, LE</t>
  </si>
  <si>
    <t>Basement evolution of the Sierra de la Ventana Fold Belt: new evidence for Cambrian continental rifting along the southern margin of Gondwana</t>
  </si>
  <si>
    <t>JOURNAL OF THE GEOLOGICAL SOCIETY</t>
  </si>
  <si>
    <t>U-PbSHRIMP; Gondwana; geochronology; granites; rifting</t>
  </si>
  <si>
    <t>A-TYPE GRANITES; EARLY PALEOZOIC EVOLUTION; CAPE-MEREDITH COMPLEX; BUENOS-AIRES-PROVINCE; PROTO-ANDEAN MARGIN; S-TYPE GRANITES; ELLSWORTH MOUNTAINS; U-PBSHRIMP; ARGENTINE PRECORDILLERA; PENSACOLA MOUNTAINS</t>
  </si>
  <si>
    <t>U-Pb sensitive high-resolution ion microprobe data together with geochemical and Nd isotope analyses obtained in the basement complex of the Sierra de la Ventana Fold Belt indicate that the Early Palaeozoic passive margin history of the basin followed Cambrian magmatism related to rifting in a 600 Ma Neoproterozoic crust. The Cambrian episode started with intrusion of 531+/-4 and 524+/-5 Ma A- and I-type granites derived from a dehydrated infracrustal source (eNd(530) -3.1 to -5.9), and culminated with eruption of high-Zr peralkaline spherulitic rhyolites derived from an undepleted lithospheric mantle (509+/-5 Ma; eNd(509) 0.5 to, 1.0). These rift-related magmatic rocks were covered by shelf sediments deposited along a once-continuous passive margin, encompassing the Sierra de la Ventana Fold Belt, the Cape Fold Belt, the Falkland/Malvinas microplate and the Ellsworth Mountains block in Antarctica. The Cambrian rifting event defined the outline shape of the southern part of Gondwana, and can be regarded as the initiation of the supercontinent stage, which lasted until Jurassic break-up. The conjugate continental fragments separated from Gondwana during the Cambrian rifting could be the source for microcontinents with c. 1000 Ma basement rocks that collided with the proto-Andean margin during Ordovician-Silurian times.</t>
  </si>
  <si>
    <t>Ctr Invest Geol, RA-1900 La Plata, Argentina; British Antarctic Survey, Cambridge CB3 0ET, England; Australian Natl Univ, Res Sch Earth Sci, PRISE, Canberra, ACT 0200, Australia; Univ Nacl Sur, Dept Geol, RA-8000 Bahia Blanca, Buenos Aires, Argentina</t>
  </si>
  <si>
    <t>UK Research &amp; Innovation (UKRI); Natural Environment Research Council (NERC); NERC British Antarctic Survey; Australian National University; National University of the South</t>
  </si>
  <si>
    <t>Ctr Invest Geol, Calle 1 644, RA-1900 La Plata, Argentina.</t>
  </si>
  <si>
    <t>crapela@cig.museo.unlp.edu.ar</t>
  </si>
  <si>
    <t>Fanning, Christopher Mark/I-6449-2016</t>
  </si>
  <si>
    <t>Fanning, Christopher Mark/0000-0003-3331-3145</t>
  </si>
  <si>
    <t>GEOLOGICAL SOC PUBL HOUSE</t>
  </si>
  <si>
    <t>BATH</t>
  </si>
  <si>
    <t>UNIT 7, BRASSMILL ENTERPRISE CENTRE, BRASSMILL LANE, BATH BA1 3JN, AVON, ENGLAND</t>
  </si>
  <si>
    <t>0016-7649</t>
  </si>
  <si>
    <t>2041-479X</t>
  </si>
  <si>
    <t>J GEOL SOC LONDON</t>
  </si>
  <si>
    <t>J. Geol. Soc.</t>
  </si>
  <si>
    <t>10.1144/0016-764902-112</t>
  </si>
  <si>
    <t>700EB</t>
  </si>
  <si>
    <t>WOS:000184098700012</t>
  </si>
  <si>
    <t>Curtis, ML; Storey, BC</t>
  </si>
  <si>
    <t>Early Palaeozoic near-surface deformation in the Neptune Range, Antarctica: implications for the Ross and Gondwanian orogenies</t>
  </si>
  <si>
    <t>Antarctica; orogeny; cleavage; elastic dyke</t>
  </si>
  <si>
    <t>CENTRAL TRANSANTARCTIC MOUNTAINS; SAN-ANDREAS FAULT; PENSACOLA MOUNTAINS; BEARDMORE GROUP; TRANSPRESSION; AGE; CONSTRAINTS; MAGMATISM; STRESS; MARGIN</t>
  </si>
  <si>
    <t>The Neptune Range of the Pensacola Mountains, East Antarctica, exposes a record of Early Palaeozoic to Early Mesozoic polyphase deformation along the former East Antarctic margin of Gondwana that is unique within the 3500 km length of the Transantarctic Mountains. The earliest of these orogenic events is the polyphase Early Palaeozoic Ross orogeny. Following two phases of intense pre-late Mid-Cambrian deformation (D-1 and D-2), a succession of volcanic and sedimentary rocks (sequences 2 and 3) were deposited in late Mid- to Late Cambrian time during a transient period of back-arc rifting. New stratigraphical and structural relationships suggest that the Cambrian succession was deformed during latest Cambrian time while at or near the palaeosurface in a foreland basin setting (D-3). D-3 deformation is characterized by thrust faulting and folding without the development of a widespread coeval cleavage, with evidence for syntectonic deposition of the basal Neptune Group (sequence 4). The main regional cleavage developed through the Palaeozoic cover rocks (sequences 2-5) is also developed in rare Permo-Carboniferous elastic dykes that cut down through the stratigraphy from the base of the Gale Mudstone. The dyke-cleavage relationship, together with observations of the conglomerate cobbles from throughout the stratigraphical succession, suggests that the most intense deformation within the Cambrian sequences is Permo-Triassic (Gondwanian orogeny) rather than latest Cambrian (late Ross orogeny) as previously concluded. Our data corroborate recent suggestions that the main phase of Ross orogenic deformation is pre-late Mid-Cambrian and not Late Cambrian or Early Ordovician.</t>
  </si>
  <si>
    <t>British Antarctic Survey, Cambridge, England</t>
  </si>
  <si>
    <t>Curtis, ML (corresponding author), British Antarctic Survey, Madingley Rd, Cambridge, England.</t>
  </si>
  <si>
    <t>10.1144/0016-764902-102</t>
  </si>
  <si>
    <t>WOS:000184098700013</t>
  </si>
  <si>
    <t>Sartoris, FJ; Bock, C; Pörtner, HO</t>
  </si>
  <si>
    <t>Temperature-dependent pH regulation in eurythermal and stenothermal marine fish:: an interspecies comparison using 31P-NMR</t>
  </si>
  <si>
    <t>JOURNAL OF THERMAL BIOLOGY</t>
  </si>
  <si>
    <t>in vivo MRI; temperature physiology; alpha-stat pH regulation; marine fish</t>
  </si>
  <si>
    <t>MAGNETIC-RESONANCE SPECTROSCOPY; ACID-BASE REGULATION; COMPARATIVE PHYSIOLOGY; THERMAL TOLERANCE; ENERGY-METABOLISM; NMR; MUSCLE; ZOARCIDAE; RECOVERY</t>
  </si>
  <si>
    <t>Temperature-induced pH changes in white muscle tissue of three eelpout populations with different levels of eurythermy (the cold stenothermal Antarctic species Pachycara brachycephalum and the temperate eelpout Zoarces viviparus from the North Sea and the Baltic Sea) were monitored online by use of in vivo P-31-NMR in unrestrained, unanaesthetized fish. An intracellular pH (pH(i)) change of around -0.015pH units/degreesC was observed in all eelpout populations in accordance-with the alpha-stat hypothesis. The pH change was completed earlier (within 4h) in the stenothermal Antarctic eelpout than in the Baltic population (within 8 h) and latest (not within 12 h) in the eurythermal North Sea population. These findings confirm the hypothesis that the kinetics of temperature-dependent pHi regulation is reflected by the relative contribution of active and passive processes to a temperature-induced pH change. The extent of passively induced pHi changes is in line with the general hypothesis that the temperature-dependent adjustment of pHi occurs mostly by active mechanisms in eurythermal animals, whereas in stenothermal animals pH changes are largely elicited by passive processes. Temperature changes had no influence on high-energy phosphates like phosphocreatine and ATP or on the Gibbs free energy change-of ATP hydrolysis (DeltaG/Deltaxi). (C) 2003 Elsevier Science Ltd. All rights reserved.</t>
  </si>
  <si>
    <t>Alfred Wegener Inst Polar &amp; Marine Res, D-27568 Bremerhaven, Germany</t>
  </si>
  <si>
    <t>Sartoris, FJ (corresponding author), Alfred Wegener Inst Polar &amp; Marine Res, Postfach 120161,Columbusstr, D-27568 Bremerhaven, Germany.</t>
  </si>
  <si>
    <t>Pörtner, Hans-O./K-9429-2016; Pörtner, Hans-O./ISU-9397-2023; Bock, Christian/B-4421-2017</t>
  </si>
  <si>
    <t>Pörtner, Hans-O./0000-0001-6535-6575; Bock, Christian/0000-0003-0052-3090; Sartoris, Franz-Josef/0000-0001-7228-3220</t>
  </si>
  <si>
    <t>0306-4565</t>
  </si>
  <si>
    <t>J THERM BIOL</t>
  </si>
  <si>
    <t>J. Therm. Biol.</t>
  </si>
  <si>
    <t>10.1016/S0306-4565(03)00012-3</t>
  </si>
  <si>
    <t>Biology; Zoology</t>
  </si>
  <si>
    <t>Life Sciences &amp; Biomedicine - Other Topics; Zoology</t>
  </si>
  <si>
    <t>694UX</t>
  </si>
  <si>
    <t>WOS:000183794100002</t>
  </si>
  <si>
    <t>Martínez, I; Burgaz, AR; Vitikainen, O; Escudero, A</t>
  </si>
  <si>
    <t>Distribution patterns in the genus Peltigera Willd.</t>
  </si>
  <si>
    <t>LICHENOLOGIST</t>
  </si>
  <si>
    <t>biogeographic provinces; lichens; Peltigera species; world distribution patterns</t>
  </si>
  <si>
    <t>NORTH-AMERICA; LICHEN</t>
  </si>
  <si>
    <t>The distribution of sixty-six Peltigera species in 230 biogeographic provinces or 40 regions are presented. A hierarchical clustering approach, used to identify clusters of species with similar distribution patterns (floristic elements), resolved four groups made up of Neotropical, Southern Hemisphere, Antarctic and mainly Holarctic species. The Holarctic Kingdom is species rich with the highest number of Peltigera species and also the highest number of endemic species; the Australian and Cape Kingdoms have the lowest number of species and endemics. The species rich provinces are briefly discussed. (C) 2003 The British Lichen Society. Published by Elsevier Ltd. All rights reserved.</t>
  </si>
  <si>
    <t>Univ Rey Juan Carlos, ESCET, Area Biodiversidad &amp; Conservac, E-28933 Madrid, Spain; Univ Complutense Madrid, Fac CC Biol, Dept Biol Vegetal 1, E-28040 Madrid, Spain; Univ Helsinki, Bot Museum Mycol, FIN-00014 Helsinki, Finland</t>
  </si>
  <si>
    <t>Universidad Rey Juan Carlos; Complutense University of Madrid; University of Helsinki</t>
  </si>
  <si>
    <t>Martínez, I (corresponding author), Univ Rey Juan Carlos, ESCET, Area Biodiversidad &amp; Conservac, E-28933 Madrid, Spain.</t>
  </si>
  <si>
    <t>Martinez, Isabel/K-8800-2014; Escudero, Adrian/H-5046-2015</t>
  </si>
  <si>
    <t>Martinez, Isabel/0000-0002-5924-1648; Escudero, Adrian/0000-0002-1427-5465</t>
  </si>
  <si>
    <t>EDINBURGH BLDG, SHAFTESBURY RD, CB2 8RU CAMBRIDGE, ENGLAND</t>
  </si>
  <si>
    <t>0024-2829</t>
  </si>
  <si>
    <t>Lichenologist</t>
  </si>
  <si>
    <t>10.1016/S0024-2829(03)00041-0</t>
  </si>
  <si>
    <t>Plant Sciences; Mycology</t>
  </si>
  <si>
    <t>733RK</t>
  </si>
  <si>
    <t>WOS:000186014300005</t>
  </si>
  <si>
    <t>Stübing, D; Hagen, W; Schmidt, K</t>
  </si>
  <si>
    <t>On the use of lipid biomarkers in marine food web analyses:: An experimental case study on the Antarctic krill, Euphausia superba</t>
  </si>
  <si>
    <t>FATTY-ACID-COMPOSITION; MARGINAL ICE-ZONE; OCTADECAPENTAENOIC ACID; TROPHIC RELATIONSHIPS; HERBIVOROUS COPEPODS; ENERGY BUDGETS; SOUTHERN-OCEAN; PHYTOPLANKTON; GROWTH; SEA</t>
  </si>
  <si>
    <t>The application of marker fatty acids to trace the feeding habits of Euphausia superba (krill) has produced contradictory results. We examined the effects of various diets on the fatty acid composition of larval, juvenile, and adult E. superba collected in April 1999 in the southwest Lazarev Sea and in April 2001 in the Bellingshausen Sea. Specimens were fed four different diets (mixed phytoplankton, mixed ice algae, the ice diatom Fragilariopsis cylindrus, and mixed copepod assemblages) or starved for up to 44 d. Total lipid content, lipid classes, and fatty acid composition showed very little variation in juvenile and adult krill with the different feeding regimes. Furcilia lipids were much more strongly influenced by the fatty acid signatures of their food. No stage-specific food preferences were detected in the larvae, and spatial patterns were mirrored by all furcilia stages. Comparison of the fatty acid profiles of the offered food with those of the subsequently excreted feces indicated preferential assimilation of polyunsaturated fatty acids by E superba.</t>
  </si>
  <si>
    <t>Univ Bremen, D-28334 Bremen, Germany; Inst Balt Sea Res, D-18119 Rostock, Germany</t>
  </si>
  <si>
    <t>University of Bremen</t>
  </si>
  <si>
    <t>stuebing@uni-bremen.de</t>
  </si>
  <si>
    <t>Hagen, Wilhelm/0000-0002-7462-9931; Stubing, Dorothea/0000-0003-1105-754X</t>
  </si>
  <si>
    <t>702WN</t>
  </si>
  <si>
    <t>WOS:000184247900031</t>
  </si>
  <si>
    <t>Ward, P; Whitehouse, M; Brandon, M; Shreeve, R; Woodd-Walker, R</t>
  </si>
  <si>
    <t>Mesozooplankton community structure across the antarctic circumpolar current to the north of South Georgia: Southern Ocean</t>
  </si>
  <si>
    <t>POLAR FRONT; ZOOPLANKTON COMMUNITY; WATER MASSES; VARIABILITY; ATLANTIC; SEA; TEMPERATURE; COPEPODS; PHYTOPLANKTON; ASSEMBLAGES</t>
  </si>
  <si>
    <t>During four summer seasons mesozooplankton community composition and structure in relation to water mass distribution were investigated along a 735-km transect running across the Antarctic Circumpolar Current (ACC) to the north-west of the island of South Georgia, Southern Ocean. Samples were obtained each year during December-January from the top 200 m of the water column at 22 stations spaced 35 km apart. Cluster analysis revealed four station groupings that were geographically consistent with the different water masses identified on the basis of temperature and salinity properties along the transect. A Sub-Antarctic Zone (SAZ) community characterised by low overall plankton abundance was present at the northernmost end of the transect on three of the four cruises, separated from a Polar Frontal Zone (PFZ) community by the Sub-Antarctic Front (SAF). The PFZ community lay between the SAF and the Polar Front (PF) and was characterised by highest overall abundance and little interannual variability. Two Antarctic Zone (AAZ) communities were found south of the PF that, although taxonomically similar, differed in overall abundance. Although there were significant differences in nutrients (e.g. silicate) and phytoplankton (Chl a) between the different water masses, these factors only weakly correlated with plankton community structure. Copepods were the largest contributors to total abundance within all station groupings (median percentage 83-90% of total) and pteropods were also proportionately abundant in the PFZ (11%). With the exception of pteropods (less than or equal to11%) and ostracods (less than or equal to3%) all other non-copepod taxa contributed &lt;1% to total abundance. All station groups were characterised by varying proportions of a relatively small subset of species, many of which were present throughout the transect, for example, Oithona similis, Ctenocalanus spp., Euchaeta antarctica, and Rhincalanus gigas. Others were particularly characteristic of different station groups, thus Neocalanus tonsus, Clausocalanus ingens, and Calocalanus spp. were characteristic of the SAZ with few in the PFZ and none in the AAZ. Microcalanus pygmaeus was particularly abundant in the AAZ compared to other regions, as was the polychaete, Pelagobia longicirrata. Other taxa, although widespread, tended to be typical of particular water masses, for example, Calanus simillimus and Limacina helicina in the PFZ, Calanoides acutus, appendicularians and P. longicirrata in the AAZ, and ostracods and chaetognaths in the SAZ. The close physical and biological coupling observed across the ACC confirms the frontal zones and particularly the PF as features across which community properties change in the Atlantic sector of the Southern Ocean.</t>
  </si>
  <si>
    <t>British Antarctic Survey, Cambridge CB3 0ET, England; Open Univ, Dept Earth Sci, Milton Keynes MK7 6AA, Bucks, England</t>
  </si>
  <si>
    <t>UK Research &amp; Innovation (UKRI); Natural Environment Research Council (NERC); NERC British Antarctic Survey; Open University - UK</t>
  </si>
  <si>
    <t>pwar@nerc-bas.ac.uk</t>
  </si>
  <si>
    <t>Brandon, Mark A/A-5804-2010</t>
  </si>
  <si>
    <t>Brandon, Mark/0000-0002-7779-0958</t>
  </si>
  <si>
    <t>10.1007/s00227-003-1019-6</t>
  </si>
  <si>
    <t>698YB</t>
  </si>
  <si>
    <t>WOS:000184026900013</t>
  </si>
  <si>
    <t>Tahmindjis, MA; Higgins, DP; Lynch, MJ; Barnes, JA; Southwell, CJ</t>
  </si>
  <si>
    <t>Use of a pethidine and midazolam combination for the reversible sedation of crabeater seals (Lobodon carcinophagus)</t>
  </si>
  <si>
    <t>MARINE MAMMAL SCIENCE</t>
  </si>
  <si>
    <t>sedation; anesthesia; chemical restraint; crabeater seal; Lobodon carcinophagus; midazolam; pethidine; ketamine; flumazenil; naloxone</t>
  </si>
  <si>
    <t>SOUTHERN ELEPHANT SEALS; CHEMICAL RESTRAINT; MIROUNGA-LEONINA; WEDDELL SEALS; HALICHOERUS-GRYPUS; DRUG-COMBINATIONS; HYDRURGA-LEPTONYX; LEOPARD SEALS; KETAMINE; IMMOBILIZATION</t>
  </si>
  <si>
    <t>Between October and December of 1996-1999, off eastern Antarctica (60degrees-150degreesE), we darted 31 crabeater seals with midazolam and pethidine at estimated dose rates of 0.15-0.4 mg/kg and 1-3 mg/kg, respectively. Maximum sedation was reached at 23 +/- 9 min (n = 18) and first signs of recovery were noted at 54 +/- 24 min (n = 4). Seals greater than 250 kg body-mass were sedated by administration of approximately 90-100 mg midazolam and 600 mg pethidine, but the degree of sedation was unpredictable and did not permit invasive procedures in some cases. Behavior of the seal and adjacent conspecifics affected the success of procedures and our ability to monitor vital signs. Naloxone and flumazenil reversed sedation, making this combination attractive for use in animals adjacent to water. Additional ketamine was administered to two seals, resulting in improved restraint.</t>
  </si>
  <si>
    <t>Australian Antarctic Div, Kingston, Tas, Australia</t>
  </si>
  <si>
    <t>Higgins, DP (corresponding author), Univ Sydney, Fac Vet Sci, B01, Sydney, NSW 2006, Australia.</t>
  </si>
  <si>
    <t>Higgins, Damien P/A-9601-2011</t>
  </si>
  <si>
    <t>Higgins, Damien/0000-0003-1215-6523</t>
  </si>
  <si>
    <t>SOC MARINE MAMMALOGY</t>
  </si>
  <si>
    <t>LAWRENCE</t>
  </si>
  <si>
    <t>1041 NEW HAMPSHIRE ST, LAWRENCE, KS 66044 USA</t>
  </si>
  <si>
    <t>0824-0469</t>
  </si>
  <si>
    <t>MAR MAMMAL SCI</t>
  </si>
  <si>
    <t>Mar. Mamm. Sci.</t>
  </si>
  <si>
    <t>10.1111/j.1748-7692.2003.tb01322.x</t>
  </si>
  <si>
    <t>698HK</t>
  </si>
  <si>
    <t>WOS:000183992800009</t>
  </si>
  <si>
    <t>Blackhurst, RL; Jarvis, K; Grady, MM</t>
  </si>
  <si>
    <t>Blackhurst, R. L.; Jarvis, K.; Grady, M. M.</t>
  </si>
  <si>
    <t>BIOLOGICALLY-INDUCED ELEMENTAL VARIATIONS IN ANTARCTIC SANDSTONES: A POTENTIAL TEST FOR MARTIAN MICRO-ORGANISMS</t>
  </si>
  <si>
    <t>[Blackhurst, R. L.; Jarvis, K.] Kingston Univ, Dept Geol Sci, Kingston KT1 2EE, Surrey, England; [Grady, M. M.] Nat Hist Museum, Dept Mineral, London SW7 5BD, England</t>
  </si>
  <si>
    <t>Kingston University; Natural History Museum London</t>
  </si>
  <si>
    <t>K0019383@kingston.ac.uk; mmg@nhm.ac.uk</t>
  </si>
  <si>
    <t>1945-5100</t>
  </si>
  <si>
    <t>S</t>
  </si>
  <si>
    <t>A87</t>
  </si>
  <si>
    <t>VJ0IH</t>
  </si>
  <si>
    <t>WOS:000522623600163</t>
  </si>
  <si>
    <t>Engrand, C; Duprat, J; Gounelle, M</t>
  </si>
  <si>
    <t>Engrand, C.; Duprat, J.; Gounelle, M.</t>
  </si>
  <si>
    <t>COMPARISON OF THE HYDROGEN ISOTOPIC COMPOSITIONS OF ANTARCTIC MICROMETEORITES FROM THE FRENCH AND JAPANESE COLLECTIONS</t>
  </si>
  <si>
    <t>[Engrand, C.; Duprat, J.; Gounelle, M.] CSNSM, F-91405 Orsay, France</t>
  </si>
  <si>
    <t>Universite Paris Saclay</t>
  </si>
  <si>
    <t>engrand@csnsm.in2p3.fr</t>
  </si>
  <si>
    <t>A108</t>
  </si>
  <si>
    <t>WOS:000522623600204</t>
  </si>
  <si>
    <t>Hsu, WB; Guan, Y; Leshin, LA; Wang, HN; Wang, RC; Zhang, FS; Lin, CY; Zhang, WL</t>
  </si>
  <si>
    <t>Hsu, Weibiao; Guan, Y.; Leshin, L. A.; Wang, Henian; Wang, Rucheng; Zhang, Fusheng; Lin, Chengyi; Zhang, Wenlan</t>
  </si>
  <si>
    <t>REE MICRODISTRIBUTIONS IN THE LHERZOLITIC SHERGOTTITE GRV99027</t>
  </si>
  <si>
    <t>[Hsu, Weibiao] Purple Mt Observ, Nanjing 210008, Peoples R China; [Guan, Y.; Leshin, L. A.] Arizona State Univ, Dept Geol Sci, Tempe, AZ 85287 USA; [Leshin, L. A.] Arizona State Univ, Ctr Meteorite Studies, Tempe, AZ 85287 USA; [Wang, Henian; Wang, Rucheng; Zhang, Wenlan] Nanjing Univ, Key State Lab Res Mineral Deposits, Dept Earth Sci, Nanjing 210093, Peoples R China; [Zhang, Fusheng; Lin, Chengyi] Nanjing Univ, Ctr Mat Anal, Nanjing 210093, Peoples R China</t>
  </si>
  <si>
    <t>Chinese Academy of Sciences; Nanjing Institute of Astronomical Optics &amp; Technology, NAOC, CAS; Purple Mountain Observatory, CAS; Arizona State University; Arizona State University-Tempe; Arizona State University; Arizona State University-Tempe; Nanjing University; Nanjing University</t>
  </si>
  <si>
    <t>wbxu@pmo.ac.cn</t>
  </si>
  <si>
    <t>One hundred talent program from the Chinese Academy of Sciences; National Natural Science Foundation of China [40232026]</t>
  </si>
  <si>
    <t>One hundred talent program from the Chinese Academy of Sciences; National Natural Science Foundation of China(National Natural Science Foundation of China (NSFC))</t>
  </si>
  <si>
    <t>The GRV 99027 sample used in this study was provided by the Chinese National Antarctic Research Institute. This work was supported by the One hundred talent program from the Chinese Academy of Sciences to W. Hsu and the National Natural Science Foundation of China Grant 40232026 to H. Wang.</t>
  </si>
  <si>
    <t>A34</t>
  </si>
  <si>
    <t>WOS:000522623600057</t>
  </si>
  <si>
    <t>Imae, N; Zolensky, ME</t>
  </si>
  <si>
    <t>Imae, N.; Zolensky, M. E.</t>
  </si>
  <si>
    <t>MINERALOGICAL DESCRIPTION OF PRE 95404: A RUMURUTI CHONDRITE THAT INCLUDES A LARGE UNEQUILIBRATED CLAST</t>
  </si>
  <si>
    <t>[Imae, N.] Natl Inst Polar Res, Antarctic Meteorite Res Ctr, Tokyo 1738515, Japan; [Zolensky, M. E.] NASA JSC, SN2, Houston, TX 77058 USA</t>
  </si>
  <si>
    <t>Research Organization of Information &amp; Systems (ROIS); National Institute of Polar Research (NIPR) - Japan; National Aeronautics &amp; Space Administration (NASA); NASA Johnson Space Center</t>
  </si>
  <si>
    <t>A95</t>
  </si>
  <si>
    <t>WOS:000522623600178</t>
  </si>
  <si>
    <t>Kaiden, H; Kojima, H</t>
  </si>
  <si>
    <t>Kaiden, H.; Kojima, H.</t>
  </si>
  <si>
    <t>MINERALOGICAL STUDY OF THE YAMATO-983885 LUNAR METEORITE</t>
  </si>
  <si>
    <t>[Kaiden, H.; Kojima, H.] Natl Inst Polar Res, Antarctic Meteorite Res Ctr, Tokyo 1738515, Japan; [Kaiden, H.] Grad Univ Adv Studies, Sch Math &amp; Phys, Dept Polar Sci, Tokyo 1738515, Japan</t>
  </si>
  <si>
    <t>Research Organization of Information &amp; Systems (ROIS); National Institute of Polar Research (NIPR) - Japan; Graduate University for Advanced Studies - Japan</t>
  </si>
  <si>
    <t>kaiden@nipr.ac.jp</t>
  </si>
  <si>
    <t>A151</t>
  </si>
  <si>
    <t>WOS:000522623600291</t>
  </si>
  <si>
    <t>Mardon, AA</t>
  </si>
  <si>
    <t>Mardon, A. A.</t>
  </si>
  <si>
    <t>PROPOSAL FOR A FRENCH ANTARCTIC METEORITE RECOVERY PROGRAM</t>
  </si>
  <si>
    <t>[Mardon, A. A.] Antarctic Inst Canada, POB 1223, Edmonton, AB, Canada</t>
  </si>
  <si>
    <t>mardon@freenet.edmonton.ab.ca</t>
  </si>
  <si>
    <t>A78</t>
  </si>
  <si>
    <t>WOS:000522623600144</t>
  </si>
  <si>
    <t>Marvin, UB</t>
  </si>
  <si>
    <t>Marvin, Ursula B.</t>
  </si>
  <si>
    <t>Oral histories in meteoritics and planetary science: XI. Masatake Honda</t>
  </si>
  <si>
    <t>Masatake Honda majored in inorganic chemistry at the University of Tokyo and then pursued graduate studies in geochemistry. In 1943, he completed his first research project, which yielded new data on the behavior of strontium in carbonates. He then spent the next two years as a technical officer in the Japanese Imperial Navy. While on duty, he gained expertise in the important new field of ion exchange methods, which he ultimately chose as the topic for his Ph.D. thesis and then expanded into a book. In 1955, Honda traveled to Switzerland and spent a year in research laboratories at Bern and Zurich. He then joined Professor James R. Arnold at Princeton University and soon began focusing his research on cosmic-ray produced nuclides in meteorites. Two years later, he accompanied Dr. Arnold to the University of California at La Jolla where they joined the research group of Professor Harold C. Urey. Honda developed techniques for measuring terrestrial ages of meteorites and showed that most of them have survived weathering for vastly longer periods than had been anticipated. After spending nearly eight years abroad, he returned to Japan in 1962 as a full professor at the University of Tokyo. During the Apollo missions, he performed research on cosmogenic nuclides in lunar rocks, surface soils, and deep drill cores. In the same period, he studied terrestrial histories of numerous Antarctic meteorites. In 1992, he retired from his professorship but he continues to carry on his research and to publish papers. In 1987, the Meteoritical Society presented its Leonard Medal to Masatake Honda for his pioneering work in establishing the abundances and production rates of stable, long-lived, and short-lived nuclides by cosmic irradiation of meteorites and lunar samples.</t>
  </si>
  <si>
    <t>[Marvin, Ursula B.] Harvard Smithsonian Ctr Astrophys, Cambridge, MA 02138 USA</t>
  </si>
  <si>
    <t>Harvard University; Smithsonian Institution; Smithsonian Astrophysical Observatory</t>
  </si>
  <si>
    <t>Marvin, UB (corresponding author), Harvard Smithsonian Ctr Astrophys, Cambridge, MA 02138 USA.</t>
  </si>
  <si>
    <t>umarvin@cfa.harvard.edu</t>
  </si>
  <si>
    <t>A177</t>
  </si>
  <si>
    <t>A187</t>
  </si>
  <si>
    <t>WOS:000522623600299</t>
  </si>
  <si>
    <t>Reimold, WU; Buchanan, PC; Ambrose, D; Koeberl, C</t>
  </si>
  <si>
    <t>Reimold, W. U.; Buchanan, P. C.; Ambrose, D.; Koeberl, C.</t>
  </si>
  <si>
    <t>THE H4/5 THUATHE METEORITE FALL OF 21 JULY 2002, LESOTHO: HISTORY OF THE FALL, STREWN FIELD DETERMINATION, AND MINERALOGICAL AND GEOCHEMICAL CHARACTERIZATION</t>
  </si>
  <si>
    <t>[Reimold, W. U.] Univ Witwatersrand, Sch Geosci, Impact Cratering Res Grp, Johannesburg, South Africa; [Buchanan, P. C.] Natl Inst Polar Res, Antarctic Meteorite Res Ctr, Itabashi Ku, Tokyo 1738515, Japan; [Ambrose, D.] Natl Univ Lesotho, Inst Educ, Roma 180, Lesotho; [Koeberl, C.] Univ Vienna, Geol Sci, A-1090 Vienna, Austria</t>
  </si>
  <si>
    <t>University of Witwatersrand; Research Organization of Information &amp; Systems (ROIS); National Institute of Polar Research (NIPR) - Japan; University of Vienna</t>
  </si>
  <si>
    <t>reimoldw@geosciences.wits.ac.za</t>
  </si>
  <si>
    <t>Reimold, Wolf Uwe/AAI-6226-2021</t>
  </si>
  <si>
    <t>A15</t>
  </si>
  <si>
    <t>WOS:000522623600019</t>
  </si>
  <si>
    <t>Tomiyama, T; Misawa, K</t>
  </si>
  <si>
    <t>Tomiyama, T.; Misawa, K.</t>
  </si>
  <si>
    <t>MANGANESE-CHROMIUM CHRONOLOGY OF OLIVINES IN L CHONDRITES</t>
  </si>
  <si>
    <t>[Tomiyama, T.] Grad Univ Adv Studies, Sch Math &amp; Phys, Dept Polar Sci, Hayama, Kanagawa, Japan; [Misawa, K.] Natl Inst Polar Res, Antarctic Meteorite Res Ctr, Itabashi Ku, Tokyo 1738515, Japan</t>
  </si>
  <si>
    <t>tomiyama@nipr.ac.jp</t>
  </si>
  <si>
    <t>A93</t>
  </si>
  <si>
    <t>WOS:000522623600174</t>
  </si>
  <si>
    <t>Yada, T; Nakamura, T; Noguchi, T; Ushikubo, T; Hiyagon, H; Sugiura, N</t>
  </si>
  <si>
    <t>Yada, T.; Nakamura, T.; Noguchi, T.; Ushikubo, T.; Hiyagon, H.; Sugiura, N.</t>
  </si>
  <si>
    <t>MG, SI, AND FE FRACTIONATION OBSERVED IN ANTARCTIC SILICATE SPHERULES</t>
  </si>
  <si>
    <t>[Yada, T.; Ushikubo, T.; Hiyagon, H.; Sugiura, N.] Univ Tokyo, Grad Sch Sci, Dept Earth &amp; Planetary Sci, Tokyo 1130033, Japan; [Nakamura, T.] Kyushu Univ, Grad Sch Sci, Dept Earth &amp; Planetary Sci, Fukuoka 8128581, Japan; [Noguchi, T.] Ibaraki Univ, Dept Mat &amp; Biol Sci, Mito, Ibaraki 3108512, Japan</t>
  </si>
  <si>
    <t>University of Tokyo; Kyushu University; Ibaraki University</t>
  </si>
  <si>
    <t>yada@space.eps.s.u-tokyo.ac.jp</t>
  </si>
  <si>
    <t>HIYAGON, HAJIME/G-4879-2014</t>
  </si>
  <si>
    <t>A88</t>
  </si>
  <si>
    <t>WOS:000522623600164</t>
  </si>
  <si>
    <t>Pearce, DA</t>
  </si>
  <si>
    <t>Bacterioplankton community structure in a maritime Antarctic oligotrophic lake during a period of holomixis, as determined by denaturing gradient gel electrophoresis (DGGE) and fluorescence in situ hybridization (FISH)</t>
  </si>
  <si>
    <t>MICROBIAL ECOLOGY</t>
  </si>
  <si>
    <t>16S RIBOSOMAL-RNA; HIGH-MOUNTAIN LAKE; TARGETED OLIGONUCLEOTIDE PROBES; MICROBIAL COMMUNITY; ACTIVATED-SLUDGE; PHYLOGENETIC GROUPS; PELAGIC BACTERIA; GENE FRAGMENTS; IDENTIFICATION; DIVERSITY</t>
  </si>
  <si>
    <t>The bacterioplankton community structure in Moss Lake, a maritime Antarctic oligotrophic lake, was determined with vertical depth in the water column, during the ice-free period on Signy Island in the South Orkney Islands. Bacterioplankton community structure was determined using a combination of direct counting of 4',6-diamidino-2-phenylindole (DAPI) stained cells, PCR amplification of 16S rRNA gene fragments, denaturing gradient gel electrophoresis (DGGE) and in situ hybridization with group-specific, fluorescently labeled oligonucleotide probes. Using PCR amplification of 16S rRNA gene fragments and DGGE, the bacterioplankton community composition was shown to be constant with vertical depth in the water column. Specific bacterioplankton species identified through cloning and sequencing the DGGE products obtained were Flavobacterium xinjiangensis (a Flavobacterium), Leptothrix discophora (a beta-Proteo-bacterium), and a number of uncultured groups: two beta-Proteobacteria, an unclassified Proteobacterium, three sequences from Actinobacteria, and a Cyanobacterium. Fluorescence in situ hybridization (FISH), however, demonstrated that there were minor but significant fluctuations in different groups of bacteria with vertical depth in the water column. It showed that the beta-Proteobacteria accounted for between 26.4 and 71.5%, the alpha-Proteobacteria 2.3-10.6%, the gamma-Proteobacteria 0-29.6%, and the Cytophaga-Flavobacterium group 1.8-23.5% of cells hybridizing to a universal probe. This study reports the first description of the community structure of an oligotrophic Antarctic freshwater lake as determined by PCR-dependent and PCR-independent molecular techniques. It also suggests that the bacterioplankton community of Moss Lake contains classes of bacteria known to be important in freshwater systems elsewhere in the world.</t>
  </si>
  <si>
    <t>British Antarctic Survey, Cambridge CB3 0ET, England</t>
  </si>
  <si>
    <t>Pearce, DA (corresponding author), British Antarctic Survey, High Cross,Madingley Rd, Cambridge CB3 0ET, England.</t>
  </si>
  <si>
    <t>0095-3628</t>
  </si>
  <si>
    <t>MICROBIAL ECOL</t>
  </si>
  <si>
    <t>Microb. Ecol.</t>
  </si>
  <si>
    <t>10.1007/s00248-002-2039-3</t>
  </si>
  <si>
    <t>Ecology; Marine &amp; Freshwater Biology; Microbiology</t>
  </si>
  <si>
    <t>Environmental Sciences &amp; Ecology; Marine &amp; Freshwater Biology; Microbiology</t>
  </si>
  <si>
    <t>709RW</t>
  </si>
  <si>
    <t>WOS:000184639000010</t>
  </si>
  <si>
    <t>Near, TJ; Pesavento, JJ; Cheng, CHC</t>
  </si>
  <si>
    <t>Mitochondrial DNA, morphology, and the phylogenetic relationships of Antarctic icefishes (Notothenioidei: Channichthyidae)</t>
  </si>
  <si>
    <t>EVOLUTION; FISH; COMPILATION; TOPOLOGIES; PATTERNS</t>
  </si>
  <si>
    <t>The Channichthyidae is a lineage of 16 species in the Notothenioidei, a clade of fishes that dominate Antarctic near-shore marine ecosystems with respect to both diversity and biomass. Among four published studies investigating channichthyid phylogeny, no two have produced the same tree topology, and no published study has investigated the degree of phylogenetic incongruence between existing molecular and morphological datasets. In this investigation we present an analysis of channichthyid phylogeny using complete gene sequences from two mitochondrial genes (ND2 and 16S) sampled from all recognized species in the clade. In addition, we have scored all 58 unique morphological characters used in three previous analyses of channichthyid phylogenetic relationships. Data partitions were analyzed separately to assess the amount of phylogenetic resolution provided by each dataset, and phylogenetic incongruence among data partitions was investigated using incongruence length difference (ILD) tests. We utilized a parsimony-based version of the Shimodaira-Hasegawa test to determine if alternative tree topologies are significantly different from trees resulting from maximum parsimony analysis of the combined partition dataset. Our results demonstrate that the greatest phylogenetic resolution is achieved when all molecular and morphological data partitions are combined into a single maximum parsimony analysis. Also, marginal to insignificant incongruence was detected among data partitions using the ILD. Maximum parsimony analysis of all data partitions combined results in a single tree, and is a unique hypothesis of phylogenetic relationships in the Channichthyidae. In particular, this hypothesis resolves the phylogenetic relationships of at least two species (Channichthys rhinoceratus and Chaenocephalus aceratus), for which there was no consensus among the previous phylogenetic hypotheses. The combined data partition dataset provides substantial statistical power to discriminate among alternative hypotheses of channichthyid relationships. These findings suggest the optimal strategy for investigating the phylogenetic relationships of channichthyids is one that uses all available phylogenetic data in analyses of combined data partitions. (C) 2003 Elsevier Science (USA). All rights reserved.</t>
  </si>
  <si>
    <t>Univ Calif Davis, Ctr Populat Biol, Davis, CA 95616 USA; Univ Illinois, Dept Biol Anim, Urbana, IL 61801 USA</t>
  </si>
  <si>
    <t>University of California System; University of California Davis; University of Illinois System; University of Illinois Urbana-Champaign</t>
  </si>
  <si>
    <t>Near, TJ (corresponding author), Univ Calif Davis, Ctr Populat Biol, 1 Shields Ave, Davis, CA 95616 USA.</t>
  </si>
  <si>
    <t>tjnear@ucdavis.edu</t>
  </si>
  <si>
    <t>Near, Thomas J./K-1204-2012</t>
  </si>
  <si>
    <t>Near, Thomas J./0000-0002-7398-6670; Pesavento, James/0000-0001-6107-3666</t>
  </si>
  <si>
    <t>10.1016/S1055-7903(03)00029-0</t>
  </si>
  <si>
    <t>691RC</t>
  </si>
  <si>
    <t>WOS:000183618400007</t>
  </si>
  <si>
    <t>Amakasu, K; Furusawa, M; Fan, CM</t>
  </si>
  <si>
    <t>A method for target strength measurement of small-size animals by split-beam method in small tank</t>
  </si>
  <si>
    <t>NIPPON SUISAN GAKKAISHI</t>
  </si>
  <si>
    <t>Japanese</t>
  </si>
  <si>
    <t>KRILL EUPHAUSIA-SUPERBA; ANTARCTIC KRILL; SOUND-SCATTERING; ACOUSTIC SCATTERING; ZOOPLANKTON GROUPS; 120 KHZ; BACKSCATTERING; ORIENTATION; DEPENDENCE; MODEL</t>
  </si>
  <si>
    <t>We developed a precise method for target strength (TS) measurement of small-size animals such as krill in a water tank. The measurement system consists of a 70 kHz split-beam system and a video camera system to observe the orientation of animals. The transducer was set pointing downward on the top of the small tank with a window on one of the side walls for observing orientation. TS measurement and orientation observation are performed simultaneously. This system can avoid external disturbances such as wind and waves and be set up easily for measurements including measurement on board a ship. TS measurement for a physical model (copper cylinder) was conducted and the measured TS was in good agreement with the theoretical result, showing the accuracy of our method. Next, TS measurements of live shrimps were conducted to get detailed TS patterns. We compared the measured results with the theoretical TS patterns and confirmed a reasonable agreement.</t>
  </si>
  <si>
    <t>Tokyo Univ Fisheries, Dept Marine Sci &amp; Technol, Tokyo 1088477, Japan</t>
  </si>
  <si>
    <t>Tokyo University of Marine Science &amp; Technology</t>
  </si>
  <si>
    <t>Amakasu, K (corresponding author), Tokyo Univ Fisheries, Dept Marine Sci &amp; Technol, Tokyo 1088477, Japan.</t>
  </si>
  <si>
    <t>AMAKASU, Kazuo/O-1857-2014</t>
  </si>
  <si>
    <t>JAPANESE SOC FISHERIES SCIENCE</t>
  </si>
  <si>
    <t>C/O TOKYO UNIV FISHERIES, KONAN 4, MINATO, TOKYO, 108-8477, JAPAN</t>
  </si>
  <si>
    <t>0021-5392</t>
  </si>
  <si>
    <t>NIPPON SUISAN GAKK</t>
  </si>
  <si>
    <t>Nippon Suisan Gakkaishi</t>
  </si>
  <si>
    <t>718RX</t>
  </si>
  <si>
    <t>WOS:000185161200007</t>
  </si>
  <si>
    <t>Murúa, R; González, LA; Lima, M</t>
  </si>
  <si>
    <t>Population dynamics of rice rats (a Hantavirus reservoir) in southern Chile:: feedback structure and non-linear effects of climatic oscillations</t>
  </si>
  <si>
    <t>OIKOS</t>
  </si>
  <si>
    <t>DENSITY-DEPENDENCE; PULMONARY SYNDROME; ANTARCTIC OSCILLATION; RAINFALL VARIABILITY; SEMIARID CHILE; TIME-SERIES; FLUCTUATIONS; DEMOGRAPHY; PREDATION; RODENT</t>
  </si>
  <si>
    <t>We studied a fluctuating population of the long-tail rice rat (Oligoryzomys longicaudatus), the main Hantavirus vector in southern Chile, and spanning 19 years of monitoring. We determined that a first-order feedback structure and non-linear effects of Antarctic Oscillation Index (AAOI) and Southern Oscillation Index (SOI) explain 96% of the variation in annual per capita population growth rates. One important result of this study is that first-order feedback structure captures the essential features of population dynamics of long-tailed rice rats. This regulatory structure suggests that rice rats are limited by food, space or predators and regulated by intra-specific competition. The first-order dynamics observed in long-tailed rice rats strongly suggests that Hantavirus have no harmful effects on survival or reproductive processes. Besides the non-linear climatic signature in population dynamics, the periodic event of bamboo-flowering and mast seeding strongly influence rice rats population growth rates. Because of this, bamboo flowering may be used as a signal for forecasting long-tail rice rats outbreaks and for implementing information and health policies to avoid human-rodent contacts in specific areas. The observed effects of the two large-scale climatic indexes that influence climatic variability along southern Pacific Ocean, the AAOI and the SOI, emphasizes the role of considering non-linear feedback structures and climatic forces for understanding small rodent population dynamics. Because long-tailed rice rats represent the major Hantavirus reservoir in southern Chile and Argentina, we need to gain an in-depth understanding of the structure and functioning of these small rodent populations in face of the potential consequences of global change and climatic fluctuations.</t>
  </si>
  <si>
    <t>Univ Austral Chile, Fac Ciencias, Inst Ecol &amp; Evoluc, Valdivia, Chile; Pontificia Univ Catolica Chile, Ctr Adv Studies Ecol &amp; Biodivers, Santiago, Chile</t>
  </si>
  <si>
    <t>Universidad Austral de Chile; Pontificia Universidad Catolica de Chile</t>
  </si>
  <si>
    <t>Murúa, R (corresponding author), Univ Austral Chile, Fac Ciencias, Inst Ecol &amp; Evoluc, Casilla 567, Valdivia, Chile.</t>
  </si>
  <si>
    <t>Lima, Mauricio/F-2722-2013</t>
  </si>
  <si>
    <t>Lima, Mauricio/0000-0002-3700-2945</t>
  </si>
  <si>
    <t>BLACKWELL MUNKSGAARD</t>
  </si>
  <si>
    <t>COPENHAGEN</t>
  </si>
  <si>
    <t>35 NORRE SOGADE, PO BOX 2148, DK-1016 COPENHAGEN, DENMARK</t>
  </si>
  <si>
    <t>0030-1299</t>
  </si>
  <si>
    <t>Oikos</t>
  </si>
  <si>
    <t>10.1034/j.1600-0706.2003.12226.x</t>
  </si>
  <si>
    <t>693BD</t>
  </si>
  <si>
    <t>WOS:000183694000014</t>
  </si>
  <si>
    <t>Coulon, F; Delille, D</t>
  </si>
  <si>
    <t>Effects of biostimulation on growth of indigenous bacteria in sub-Antarctic soil contaminated with oil hydrocarbons</t>
  </si>
  <si>
    <t>OIL &amp; GAS SCIENCE AND TECHNOLOGY-REVUE D IFP ENERGIES NOUVELLES</t>
  </si>
  <si>
    <t>DIESEL-OIL; MICROBIAL-DEGRADATION; PETROLEUM-HYDROCARBONS; SPILL BIOREMEDIATION; CRUDE-OIL; BIODEGRADATION; MARINE; MICROORGANISMS; FUEL; TEMPERATURE</t>
  </si>
  <si>
    <t>In order to evaluate the efficiency of biostimulation of soil contaminated with oil hydrocarbons under sub-Antarctic conditions, a mesocosm study was initiated in May 2001 in the Kerguelen Archipelago (49degrees21'S, 70degrees13'E). The effects of temperature and fertilizer addition (Inipol EAP-22, Elf Atochem) on soil bacterial assemblages contaminated with hydrocarbons were studied in 6-1 batches of subantarctic soil incubated in the dark. Six different conditions were used at three temperatures (4,10 and 20degreesC): control, fertilizer (50 ml), diesel oil (100 ml), diesel oil (100 ml) + fertilizer (50 ml), Arabian light crude oil (100 ml) and crude oil (100 ml) + fertilizer (50 ml). Mesocosms were sampled on a regular basis over a seven-month period. All samples were analyzed for total bacteria, viable heterotrophic assemblages and hydrocarbon-utilising microflora. The results clearly showed a significant response of sub-Antarctic microbial soil communities to hydrocarbon contamination. Large increases in total, heterotrophic and hydrocarbon-utilising bacteria were observed (from less than 5 x 10(5) MPN g-1 to more than 10(8) MPN g(-1) for hydrocarbon degrading bacteria). Temperature elevation had no significant impact on the total or heterotrophic assemblages but induced a one order of magnitude increase in hydrocarbon-utilising bacteria in contaminated mesocosms. In contrast, fertilizer addition had no clear effect on hydrocarbon-degrading specific bacteria but stimulated heterotrophic growth in diesel oil-contaminated soils.</t>
  </si>
  <si>
    <t>Univ Paris 06, UMR CNRS 7621, Observ Oceanol, F-66650 Banyuls sur Mer, France</t>
  </si>
  <si>
    <t>Centre National de la Recherche Scientifique (CNRS); CNRS - National Institute for Earth Sciences &amp; Astronomy (INSU); Sorbonne Universite</t>
  </si>
  <si>
    <t>Coulon, F (corresponding author), Univ Paris 06, UMR CNRS 7621, Observ Oceanol, F-66650 Banyuls sur Mer, France.</t>
  </si>
  <si>
    <t>coulon@obs-banyuls.fr; daniel.delille@wanadoo.fr</t>
  </si>
  <si>
    <t>Coulon, Frederic/B-3227-2009; Daniel, Delille/S-9542-2019</t>
  </si>
  <si>
    <t>Coulon, Frederic/0000-0002-4384-3222;</t>
  </si>
  <si>
    <t>EDP SCIENCES S A</t>
  </si>
  <si>
    <t>LES ULIS CEDEX A</t>
  </si>
  <si>
    <t>17, AVE DU HOGGAR, PA COURTABOEUF, BP 112, F-91944 LES ULIS CEDEX A, FRANCE</t>
  </si>
  <si>
    <t>1294-4475</t>
  </si>
  <si>
    <t>1953-8189</t>
  </si>
  <si>
    <t>OIL GAS SCI TECHNOL</t>
  </si>
  <si>
    <t>Oil Gas Sci. Technol.</t>
  </si>
  <si>
    <t>10.2516/ogst:2003030</t>
  </si>
  <si>
    <t>Energy &amp; Fuels; Engineering, Chemical; Engineering, Petroleum</t>
  </si>
  <si>
    <t>716WQ</t>
  </si>
  <si>
    <t>Green Published, gold</t>
  </si>
  <si>
    <t>WOS:000185052900006</t>
  </si>
  <si>
    <t>Corrêa, MP; Dubuisson, P; Plana-Fattori, A</t>
  </si>
  <si>
    <t>An overview of the ultraviolet index and the skin cancer cases in Brazil</t>
  </si>
  <si>
    <t>PHOTOCHEMISTRY AND PHOTOBIOLOGY</t>
  </si>
  <si>
    <t>UV MODEL-CALCULATIONS; TERRESTRIAL ATMOSPHERE; RAYLEIGH-SCATTERING; RADIATIVE-TRANSFER; ACCURACY; UNCERTAINTIES; MEDIA</t>
  </si>
  <si>
    <t>This study relates regional and seasonal UV index (UVI) variations, number of skin cancer cases and population skin-color distribution in Brazil. UVI calculations were performed using the UV Global Atmospheric Model (UVGAME), whose characteristics and validations are provided in this article. Health and racial data sets are based on the health and census data collected by Brazilian governmental agencies in the past. The discussion covers cultural customs and details of health and educational campaigns in Brazil. Despite lower UV levels in the South and Southeast regions, the results show a larger number of nonmelanoma skin cancer (NMSC) cases in these regions, where the white population is predominant. In general, in the southern regions about 50 new NMSC cases per 100 000 inhabitants have been diagnosed each year. These rates decrease almost 40% in the Central-North regions and more than 80% in Northeast region, where miscegenation is common. In addition, the UVI evaluation is extended to other South American sites with singular characteristics, e.g. populous cities located in high altitudes or those affected by the Antarctic ozone hole in the extreme south of the continent.</t>
  </si>
  <si>
    <t>Univ Sao Paulo, Inst Astron Geofis &amp; Ciencias Atmosfer, Dept Ciencias Atmosfer, BR-05508090 Sao Paulo, SP, Brazil; UnivLittoral Cote Opale, UMR 8013, ELICO, Wimereux, France</t>
  </si>
  <si>
    <t>Universidade de Sao Paulo; Universite du Littoral-Cote-d'Opale</t>
  </si>
  <si>
    <t>Corrêa, MP (corresponding author), Univ Sao Paulo, Inst Astron Geofis &amp; Ciencias Atmosfer, Dept Ciencias Atmosfer, Rua Matao 1226,Cidade Univ, BR-05508090 Sao Paulo, SP, Brazil.</t>
  </si>
  <si>
    <t>Corrêa, Marcelo/KGM-1326-2024; de Paula Correa, Marcelo/G-8742-2013</t>
  </si>
  <si>
    <t>de Paula Correa, Marcelo/0000-0002-4821-3828; Plana-Fattori, Artemio/0000-0001-8326-7007</t>
  </si>
  <si>
    <t>AMER SOC PHOTOBIOLOGY</t>
  </si>
  <si>
    <t>AUGUSTA</t>
  </si>
  <si>
    <t>BIOTECH PARK, 1021 15TH ST, SUITE 9, AUGUSTA, GA 30901-3158 USA</t>
  </si>
  <si>
    <t>0031-8655</t>
  </si>
  <si>
    <t>PHOTOCHEM PHOTOBIOL</t>
  </si>
  <si>
    <t>Photochem. Photobiol.</t>
  </si>
  <si>
    <t>10.1562/0031-8655(2003)078&lt;0049:AOOTUI&gt;2.0.CO;2</t>
  </si>
  <si>
    <t>701KE</t>
  </si>
  <si>
    <t>WOS:000184166100008</t>
  </si>
  <si>
    <t>Pakhomov, EA; Fuentes, V; Schloss, I; Atencio, A; Esnal, GB</t>
  </si>
  <si>
    <t>Beaching of the tunicate Salpa thompsoni at high levels of suspended particulate matter in the Southern Ocean</t>
  </si>
  <si>
    <t>KING-GEORGE-ISLAND; SEA-ICE EXTENT; POTTER COVE; LAZAREV SEA; CARBON FLUX; ZOOPLANKTON; COMMUNITY; SHETLAND; KRILL; LIGHT</t>
  </si>
  <si>
    <t>A mass death event of the pelagic tunicate Salpa thompsoni, which occurred in April 2002 in Potter Cove near the Argentinean/German Antarctic station Jubany (62degrees14'S-58degrees40'W), King George Island, South Shetland Islands, is described. Salps appeared on the beach 2 days after very strong ( &gt; 80 km.h(-1)) winds were registered, which accumulated particulate material in the inner part of the cove and probably also re-suspended bottom sediments. The sharp increase in particulate-matter concentrations in Potter Cove caused clogging of salp mucous filtering nets, and probably a combination of clogging, winds and tides caused dying salps to be washed out onto the beach.</t>
  </si>
  <si>
    <t>Alfred Wegener Inst Polar &amp; Marine Res, Biol Sect, D-27515 Bremerhaven, Germany; Univ Buenos Aires, Fac Ciencias Exactas &amp; Nat, Dept Ciencias Biol, RA-1428 Buenos Aires, DF, Argentina; Inst Antarctico Argentino, Dept Ciencias Mar, RA-1010 Buenos Aires, DF, Argentina; Univ Ft Hare, Dept Zool, ZA-5700 Alice, South Africa</t>
  </si>
  <si>
    <t>Helmholtz Association; Alfred Wegener Institute, Helmholtz Centre for Polar &amp; Marine Research; University of Buenos Aires; University of Fort Hare</t>
  </si>
  <si>
    <t>Pakhomov, EA (corresponding author), Univ Ft Hare, Dept Zool, Private Bag X1314, ZA-5700 Alice, South Africa.</t>
  </si>
  <si>
    <t>Fuentes, Verónica L/K-7589-2014; Schloss, Irene R./U-5411-2018</t>
  </si>
  <si>
    <t>Fuentes, Verónica L/0000-0002-6380-0174; Schloss, Irene R./0000-0002-5917-8925</t>
  </si>
  <si>
    <t>10.1007/s00300-003-0494-z</t>
  </si>
  <si>
    <t>703GD</t>
  </si>
  <si>
    <t>WOS:000184270900001</t>
  </si>
  <si>
    <t>Vidal, E; Jouventin, P; Frenot, Y</t>
  </si>
  <si>
    <t>Contribution of alien and indigenous species to plant-community assemblages near penguin rookeries at Crozet archipelago</t>
  </si>
  <si>
    <t>SOUTHERN-OCEAN ISLANDS; PRINCE-EDWARD-ISLANDS; SUB-ANTARCTIC ISLANDS; ECOLOGICAL BIOGEOGRAPHY; VASCULAR PLANTS; NESTING GULLS; MARION; SEABIRDS; SOIL; CONSERVATION</t>
  </si>
  <si>
    <t>The influence of seabird colonies on a remote insular flora was investigated through the analysis of plant community patterns at the boundaries of three colonies of king peguins (Aptenodytes patagonicus) on the subantarctic Ile de la Possession. This study revealed that the physical and chemical impacts of these seabirds greatly influence plant assemblages (community composition, alien and native species abundance and richness). Plant richness appears to be maximum for a moderate disturbance intensity, on areas slightly influenced by penguin activities. The abundance of alien species near penguin rookeries may be due to their ability to withstand animal-induced disturbances and to efficiently colonise the stripped areas. In addition, the diversity and abundance of alien species recorded in study plots depend on the location of the colony. The closer the colony is to the permanent scientific station, the higher the number and abundance of aliens recorded.</t>
  </si>
  <si>
    <t>CNRS, CEFE, Ecol Grp Comportementale, F-34293 Montpellier 5, France; Univ Rennes 1, CNRS UMR 6553, ECOBIO, F-35380 Paimpont, France; CNRS, UMR 6116, IMEP, Fac Sci &amp; Tech St Jerome,Inst Mediterraneen Ecol, F-13397 Marseille 20, France</t>
  </si>
  <si>
    <t>Universite PSL; Ecole Pratique des Hautes Etudes (EPHE); Institut Agro; Montpellier SupAgro; CIRAD; Centre National de la Recherche Scientifique (CNRS); Institut de Recherche pour le Developpement (IRD); Universite Paul-Valery; Universite de Montpellier; Centre National de la Recherche Scientifique (CNRS); CNRS - Institute of Ecology &amp; Environment (INEE); Universite de Rennes; Aix-Marseille Universite; Centre National de la Recherche Scientifique (CNRS)</t>
  </si>
  <si>
    <t>Vidal, E (corresponding author), CNRS, UMR 6116, IMEP, Fac Sci &amp; Tech St Jerome,Inst Mediterraneen Ecol, Case 461, F-13397 Marseille 20, France.</t>
  </si>
  <si>
    <t>VIDAL, Eric/K-1295-2016</t>
  </si>
  <si>
    <t>VIDAL, Eric/0000-0001-8114-2219</t>
  </si>
  <si>
    <t>10.1007/s00300-003-0500-5</t>
  </si>
  <si>
    <t>WOS:000184270900002</t>
  </si>
  <si>
    <t>Krupa, OC; Vannucci, D</t>
  </si>
  <si>
    <t>Citrate synthase from Antarctic ciliates: adaptation to low temperatures and comparison with temperate ciliates</t>
  </si>
  <si>
    <t>URONEMA-MARINUM CILIOPHORA; SCUTICOCILIATIDA; CRUSTACEANS; KINETICS</t>
  </si>
  <si>
    <t>The activity of citrate synthase (CS), a mitochondrial enzyme in the energy metabolism pathway, was studied in Euplotes focardii (Hypotrichia) and Uronema marinum (Scuticociliatia), isolated from samples of Antarctic seawater and, for comparison in E. vannus and U. nigricans, related ciliates from the Adriatic. The temperature-dependent characteristics of CS were investigated in the range 0-55degreesC, to evaluate mechanisms of thermal regulation, such as optimal temperature levels, activation energy, and kinetic parameters. CS activity was up to double that recorded in temperate organisms at reaction temperatures between 0 and 10degreesC. The optimal temperature for enzymatic activity was independent of T-amb. Activation energy for CS was significantly lower in Antarctic ciliates than in temperate ones, indicating a significant increase in the reaction rate. K-M at various temperatures of the reaction substrates indicated the higher affinity of CS for acetyl-CoA in both Antarctic organisms at lower temperatures. The data for thermal profiles for K-M, showing greater differences between E. focardii and E. vannus than between U. marinum and U. nigricans, support the distinctive physiological characteristics of each species. E. focardii is an endemic and psychrophilic species, whereas U. marinum is a typically ubiquitous species, more adaptable to environmental changes.</t>
  </si>
  <si>
    <t>Univ Padua, Dept Biol, I-35131 Padua, Italy</t>
  </si>
  <si>
    <t>University of Padua</t>
  </si>
  <si>
    <t>Krupa, OC (corresponding author), Univ Padua, Dept Biol, Via U Bassi 58-B, I-35131 Padua, Italy.</t>
  </si>
  <si>
    <t>10.1007/s00300-003-0501-4</t>
  </si>
  <si>
    <t>WOS:000184270900004</t>
  </si>
  <si>
    <t>Morlá, M; Agustí, AGN; Rahman, I; Motterlini, R; Saus, C; Morales-Nin, B; Company, JB; Busquets, X</t>
  </si>
  <si>
    <t>Nitric oxide synthase type I (nNOS), vascular endothelial growth factor (VEGF) and myoglobin-like expression in skeletal muscle of Antarctic icefishes (Notothenioidei: Channichthyidae)</t>
  </si>
  <si>
    <t>L-ARGININE; HYPOXIA; ANGIOGENESIS; ADAPTATIONS; ZEBRAFISH; SYSTEM; FISH; GENE; RNA</t>
  </si>
  <si>
    <t>The Antarctic icefishes Channichthyidae lack haemoglobin and are thought to lack myoglobin (Mb) in their skeletal muscle as well. Due to the absence of both respiratory pigments, icefishes may present a variety of physiological adaptations in their skeletal muscles. In mammals, molecular responses to limiting oxygen availability in the skeletal muscle include, among others, the over expression of nitric oxide synthases (NOS), such as type I (neuronal nNOS) and type III (endothelial eNOS), as well as the vascular endothelial growth factor (VEGF). In this paper, we evaluated by western blot analysis whether the skeletal muscle of haemoglobin-less icefishes expresses in a constitutive manner higher levels of the type I and type III NOS isoforms and VEGF. Our results demonstrate that haemoglobin-less icefish of the family Channichthyidae do indeed present higher expression of the type I NOS isoform compared with red-blooded Antarctic fish species of other families of the same suborder Notothenioldei. In contrast, VEGF was not over-expressed. Moreover, we show that some icefish species, thought previously to lack Mb in oxidative muscles, actually present Mb-like immunoreactivity in their skeletal muscle.</t>
  </si>
  <si>
    <t>UIB, Hosp Univ Son Dureta, Unitat Invest, Serv Pneumol,CSIC, Palma De Mallorca 07014, Mallorca, Spain; Hosp Univ Son Dureta, Unitat Invest, Serv Anat Patol, Palma De Mallorca 07014, Mallorca, Spain; Inst Mediterrani Estudis Avancats, Esporles, Mallorca, Spain; Univ Edinburgh, Med Res Unit, ELEGI &amp; Cold Labs, Edinburgh, Midlothian, Scotland; Northwick Pk Inst, Vasc Biol Unit, Dept Surg Res, Harrow, Middx, England; Inst Ciencias Mar, Barcelona, Spain</t>
  </si>
  <si>
    <t>Consejo Superior de Investigaciones Cientificas (CSIC); Universitat de les Illes Balears; Hospital Universitari Son Espases; Hospital Universitari Son Dureta; Hospital Universitari Son Espases; Hospital Universitari Son Dureta; Consejo Superior de Investigaciones Cientificas (CSIC); ATTITUS Educacao; University of Edinburgh; Consejo Superior de Investigaciones Cientificas (CSIC); CSIC - Centro Mediterraneo de Investigaciones Marinas y Ambientales (CMIMA); CSIC - Instituto de Ciencias del Mar (ICM)</t>
  </si>
  <si>
    <t>Busquets, X (corresponding author), UIB, Hosp Univ Son Dureta, Unitat Invest, Serv Pneumol,CSIC, Andrea Doria 55, Palma De Mallorca 07014, Mallorca, Spain.</t>
  </si>
  <si>
    <t>Motterlini, Roberto/Q-1890-2019; Busquets, Xavier/M-5574-2018; Company, Joan B. B/K-7274-2014; Agusti Garcia-Navarro, Alvar/F-4474-2015</t>
  </si>
  <si>
    <t>Motterlini, Roberto/0000-0003-2684-2612; Agusti Garcia-Navarro, Alvar/0000-0003-3271-3788; Morales-Nin, Beatriz/0000-0002-7264-0918</t>
  </si>
  <si>
    <t>10.1007/s00300-003-0504-1</t>
  </si>
  <si>
    <t>WOS:000184270900005</t>
  </si>
  <si>
    <t>Artigues, B; Morales-Nin, B; Balguerías, E</t>
  </si>
  <si>
    <t>Fish length-weight relationships in the Weddell Sea and Bransfield Strait</t>
  </si>
  <si>
    <t>Length-weight relationships are provided for 49 Antarctic fishes from 9 families. The fish were from three research cruises of 1996, 1998 and 2000 to the Weddell Sea and Antarctic Peninsula. Samples were collected by benthopelagic net, Agassiz trawl and bottom trawl at depths of 200-2,300 m. The exponent b in the length-weight relationship W = aL(b) ranged from 2.53 to 4.05. With a mean of 3.33, 50% of the values ranged between 3.157 and 3.480. In 31 species, the parameters were determined for each sex. For 64.5% of species, b was higher in females than in males. Exceptions were the Channichthyidae where b for six species was higher for males.</t>
  </si>
  <si>
    <t>CSIC, UIB, Inst Mediterrani Estudis Avancats, Esporles 07190, Spain; IEO, Ctr Oceanografico Tenerife, Tenerife 38080, Spain</t>
  </si>
  <si>
    <t>Universitat de les Illes Balears; Consejo Superior de Investigaciones Cientificas (CSIC); ATTITUS Educacao</t>
  </si>
  <si>
    <t>Morales-Nin, B (corresponding author), CSIC, UIB, Inst Mediterrani Estudis Avancats, Miguel Marques 21, Esporles 07190, Spain.</t>
  </si>
  <si>
    <t>Morales-Nin, Beatriz/0000-0002-7264-0918</t>
  </si>
  <si>
    <t>10.1007/s00300-003-0505-0</t>
  </si>
  <si>
    <t>WOS:000184270900006</t>
  </si>
  <si>
    <t>Takahashi, KT; Kawaguchi, S; Kobayashi, M; Toda, T</t>
  </si>
  <si>
    <t>Parasitic eugregarines change their spatial distribution within the host digestive tract of Antarctic krill, Euphausia superba</t>
  </si>
  <si>
    <t>CEPHALOIDOPHORA-PACIFICA; MOLT; DANA; APICOMPLEXA; MORPHOLOGY; GROWTH</t>
  </si>
  <si>
    <t>The spatial distribution of the gregarine Cephaloidophora pacifica Avdeev (Order Eugregarinida) within the digestive tract of Antarctic krill Euphausia superba was examined using samples collected from the vicinity of the Antarctic Peninsula, in order to evaluate their strategy for maintaining their population. Eugregarines were observed to accumulate in the front section of the gut at any host maturity stage. The results of statistical analysis showed that eugregarines at immediately pre-molt stage of the krill decreased significantly in the posterior of the hind-gut, and increased in the anterior of the hind-gut. Thus, the krill's molt stage may be one factor affecting the spatial distribution of eugregarines. As a strategy for avoiding discharge to the outer environment by molting, eugregarines may move to a safety zone (mid-gut).</t>
  </si>
  <si>
    <t>Soka Univ, Fac Engn, Hachioji, Tokyo 1928577, Japan; Australian Antarctic Div, Kingston, Tas 7050, Australia</t>
  </si>
  <si>
    <t>Soka University; Australian Antarctic Division</t>
  </si>
  <si>
    <t>Grad Univ Adv Studies, Natl Inst Polar Res, Dept Polar Sci, Itabashi Ku, 9-10 Kaga 1 Chome, Tokyo 1738515, Japan.</t>
  </si>
  <si>
    <t>kuni@nipr.ac.jp</t>
  </si>
  <si>
    <t>Kawaguchi, So/N-1795-2017</t>
  </si>
  <si>
    <t>Toda, Tatsuki/0000-0001-9279-030X; Kawaguchi, So/0000-0002-2042-5095</t>
  </si>
  <si>
    <t>10.1007/s00300-003-0511-2</t>
  </si>
  <si>
    <t>WOS:000184270900007</t>
  </si>
  <si>
    <t>Phillips, KL; Nichols, PD; Jackson, GD</t>
  </si>
  <si>
    <t>Size-related dietary changes observed in the squid Moroteuthis ingens at the Falkland Islands:: stomach contents and fatty-acid analyses</t>
  </si>
  <si>
    <t>LOLIGO-VULGARIS; ILLEX-ARGENTINUS; CEPHALOPODA; ATLANTIC; FOOD; ONYCHOTEUTHIDAE; OMMASTREPHIDAE; LOLIGINIDAE; MYCTOPHIDS; CONSUMERS</t>
  </si>
  <si>
    <t>Dietary composition of the onychoteuthid squid Moroteuthis ingens at the Falkland Islands was related to predator size, as shown by stomach contents and fatty-acid analyses. Comparisons were made between two size classes of squid: those of mantle length &lt;200 mm and those of mantle length &gt;200 mm. Smaller squid had frequently consumed crustaceans and cephalopods; fish were of secondary importance. Larger squid consumed mostly fish and moderate amounts of cephalopods, but had rarely consumed crustaceans. These findings were supported by comparisons drawn between digestive-gland fatty-acid profiles and the fatty-acid profiles of potential prey species. Fatty-acid analyses indicated that the crustaceans Euphausia lucens, Munida gregaria and Themisto gaudichaudii were important prey items of smaller squid, whereas stomach content and fatty-acid analyses indicated that Gymnoscopelus nicholsi of around 100 mm standard length represented much of the fish prey of larger squid.</t>
  </si>
  <si>
    <t>CSIRO, Marine Res, Hobart, Tas 7001, Australia; Univ Tasmania, Inst Antarctic &amp; So Ocean Studies, Hobart, Tas 7001, Australia; Univ Tasmania, Antarctic CRC, Hobart, Tas 7001, Australia</t>
  </si>
  <si>
    <t>Commonwealth Scientific &amp; Industrial Research Organisation (CSIRO); University of Tasmania; University of Tasmania</t>
  </si>
  <si>
    <t>Phillips, KL (corresponding author), Univ Tasmania, Inst Antarctic &amp; So Ocean Studies, Private Bag 77, Hobart, Tas 7001, Australia.</t>
  </si>
  <si>
    <t>Jackson, George D/AAI-7315-2021; Nichols, Peter D/C-5128-2011</t>
  </si>
  <si>
    <t>10.1007/s00300-003-0509-9</t>
  </si>
  <si>
    <t>WOS:000184270900008</t>
  </si>
  <si>
    <t>Mavromatis, K; Feller, G; Kokkinidis, M; Bouriotis, V</t>
  </si>
  <si>
    <t>Cold adaptation of a psychrophilic chitinase: a mutagenesis study</t>
  </si>
  <si>
    <t>PROTEIN ENGINEERING</t>
  </si>
  <si>
    <t>chitinases; cold adaptation; mutagenesis; psychrophilic enzyme; thermostability</t>
  </si>
  <si>
    <t>SITE-DIRECTED MUTAGENESIS; ANTARCTIC BACTERIUM; LOCAL FLEXIBILITY; CRYSTAL-STRUCTURE; ADAPTED ENZYMES; ACTIVE-SITE; EVOLUTION; PROTEIN; GENES; DEHYDROGENASE</t>
  </si>
  <si>
    <t>The gene encoding chitinase ArChiB from the Antarctic Arthrobacter sp. TAD20 has been expressed in Escherichia coli and the recombinant enzyme purified to homogeneity. In an effort to engineer cold-adapted biocatalysts through rational redesign to operate at elevated temperatures, we performed several mutations aiming to increase the rigidity of the molecular edifice of the selected psychrophilic chitinase. The mutations were designed on the basis of a homology-based three-dimensional model of the enzyme, and included an attempt to introduce a salt bridge (mutant N198K) and replacements of selected Gly residues by either Pro (mutants G93P, G254P) or Gln (G406Q). Mutant N198K resulted in a more stable protein (DeltaT(m)=0.6degreesC). Mutant G93P exhibited a DeltaT(m) of 1.2degreesC, while mutants G254P and G406Q exhibited decreased stability. We conclude that the effect of mutating Gly residues on enzyme stability is rather complex and can only be understood in the context of the structural environment. Kinetic and spectroscopic analysis of these enzyme variants revealed that the kinetic parameters k(cat) and K-m have been significantly modified.</t>
  </si>
  <si>
    <t>Univ Crete, Dept Biol, Div Appl Biol &amp; Biotechnol, Iraklion 71110, Crete, Greece; Inst Mol Biol &amp; Biotechnol, Enzyme Technol Div, Iraklion 71110, Crete, Greece; Univ Liege, Inst Chem B6, Biochem Lab, B-4000 Liege, Belgium</t>
  </si>
  <si>
    <t>University of Crete; University of Liege</t>
  </si>
  <si>
    <t>Bouriotis, V (corresponding author), Univ Crete, Dept Biol, Div Appl Biol &amp; Biotechnol, POB 1470, Iraklion 71110, Crete, Greece.</t>
  </si>
  <si>
    <t>0269-2139</t>
  </si>
  <si>
    <t>PROTEIN ENG</t>
  </si>
  <si>
    <t>Protein Eng.</t>
  </si>
  <si>
    <t>10.1093/protein/gzg069</t>
  </si>
  <si>
    <t>Biochemistry &amp; Molecular Biology; Biotechnology &amp; Applied Microbiology</t>
  </si>
  <si>
    <t>712DR</t>
  </si>
  <si>
    <t>WOS:000184782400006</t>
  </si>
  <si>
    <t>Garric, G; Venegas, SA; Tansley, CE; James, IN</t>
  </si>
  <si>
    <t>Atmosphere-sea-ice low-frequency variability with a simple model of the southern hemisphere</t>
  </si>
  <si>
    <t>annular mode; antarctic circumpolar wave; atmosphere-sea-ice dynamics; climate variability</t>
  </si>
  <si>
    <t>ANTARCTIC CIRCUMPOLAR WAVE; ZONAL FLOW VACILLATION; WEDDELL SEA; SEMIANNUAL OSCILLATION; CLIMATE VARIABILITY; CIRCULATION MODEL; ANNUAL CYCLE; OCEAN; WIND; GCM</t>
  </si>
  <si>
    <t>A simple primitive-equation general circulation model (SGCM) is used as a representation of an 'aqua-planet' (with no orography) to model constant southern-hemisphere-winter conditions. The statistical significance of the decadal and quasi-biennial variability is first assessed in a long-time SGCM run by means of a frequency-domain statistical decomposition. The modelled long-wave atmospheric pattern is then associated with the observed southern-hermsphere 'annular mode', as suggested by previous studies using the same SGCM. A simple linear relationship between the low-level wind and the ice velocity is then introduced into the SGCM to investigate the feedbacks between the sea-ice cover and the baroclinic waves. The zonal mean state reached by the sea-ice cover in a long coupled run (a few hundred years) exhibits characteristics similar to the observations. Investigation of the low-frequency variability in the coupled simulation leads to the following results: (1) statistically significant variability is observed on interdecadal, decadal, interannual and quasi-biennial time-scales; (2) interdecadal, decadal and quasi-biennial signals are associated with the atmospheric annular mode that forces changes in the northward extent of the sea-ice cover at all. Southern Ocean longitudes; (3) the interannual signal (3-6 year period) exhibits spatio-temporal patterns and propagation speed similar to the well-known 'Antarctic circumpolar wave'.</t>
  </si>
  <si>
    <t>Univ Copenhagen, Niels Bohr Inst Astron Phys &amp; Geophys, Danish Ctr Earth Syst &amp; Sci, DK-2100 Copenhagen, Denmark; Univ Reading, Reading, Berks, England</t>
  </si>
  <si>
    <t>University of Copenhagen; Niels Bohr Institute; University of Reading</t>
  </si>
  <si>
    <t>Garric, G (corresponding author), Univ Copenhagen, Niels Bohr Inst Astron Phys &amp; Geophys, Danish Ctr Earth Syst &amp; Sci, Juliane Maries Vej 30, DK-2100 Copenhagen, Denmark.</t>
  </si>
  <si>
    <t>Garric, Gilles/O-9065-2016</t>
  </si>
  <si>
    <t>Garric, Gilles/0000-0002-5385-710X</t>
  </si>
  <si>
    <t>10.1256/qj.02.70</t>
  </si>
  <si>
    <t>703PP</t>
  </si>
  <si>
    <t>WOS:000184289600014</t>
  </si>
  <si>
    <t>Öllers, MC; Kamp, LPJ; Lott, F; van Velthoven, PFJ; Kelder, HM; Sluijter, FW</t>
  </si>
  <si>
    <t>Propagation properties of inertia-gravity waves through a barotropic shear layer and application to the Antarctic polar vortex</t>
  </si>
  <si>
    <t>critical layers; over-reflection; over-transmission; resonant absorption</t>
  </si>
  <si>
    <t>INTERNAL WAVES; FLOW; REFLECTION; FLUIDS</t>
  </si>
  <si>
    <t>The propagation of inertia-gravity waves (IGWs) through a dynamical transport barrier, such as the Antarctic polar vortex edge is investigated using a linear wave model. The model is based on the linearized, inviscid hydrostatic equations on an f-plane. Typical values for the parameters that are appropriate to the Antarctic polar vortex are given. The background flow U is assumed to be barotropic and its horizontal shear is represented by a hyperbolic tangent background wind profile. The wave equation that describes the latitudinal structure of a monochromatic disturbance contains two singularities. The first corresponds to the occurence of a critical level where the intrinsic wave frequency Omega = omega - k U becomes zero. omega is the absolute wave frequency and k its longitudinal wave number in the direction of U. The second is an apparent singularity and does not give rise to singular wave behaviour. It becomes zero whenever the square of the intrinsic wave frequency Omega(2) f(f -U-y), f being the Coriolis frequency and U-y the horizontal shear of the flow. The wave equation is solved numerically for different values of the angles of incidence of the wave upon the background flow, of the wave frequency of the horizontal wave number and of the Rossby number. Reflection (\R\) and transmission (\T\) coefficients are determined as a function of these parameters. The results depend on whether the flow is inertially stable or not. They also depend on the presence and location Of file turning levels. where the wave becomes evanescent. with respect to the location of the Q-critical levels. For inertially stable flows, the wave totally reflects at the turning level and never reaches the critical level. If the background flow is inertially unstable. turning levels can disappear and the wave can now reach the critical level. Then over-reflection, over-transinission and absorption can occur.</t>
  </si>
  <si>
    <t>Eindhoven Univ Technol, Dept Appl Phys, NL-5600 MB Eindhoven, Netherlands; Univ Paris 06, CNRS, Meteorol Dynam Lab, Paris, France; Royal Netherlands Meteorol Inst, NL-3730 AE De Bilt, Netherlands</t>
  </si>
  <si>
    <t>Eindhoven University of Technology; Centre National de la Recherche Scientifique (CNRS); Sorbonne Universite; Royal Netherlands Meteorological Institute</t>
  </si>
  <si>
    <t>Eindhoven Univ Technol, Dept Appl Phys, POB 513, NL-5600 MB Eindhoven, Netherlands.</t>
  </si>
  <si>
    <t>L.P.J.Kamp@tue.nl</t>
  </si>
  <si>
    <t>Kamp, Leon/0000-0003-0626-3832</t>
  </si>
  <si>
    <t>1477-870X</t>
  </si>
  <si>
    <t>B</t>
  </si>
  <si>
    <t>10.1256/qj.02.98</t>
  </si>
  <si>
    <t>719DD</t>
  </si>
  <si>
    <t>WOS:000185187600003</t>
  </si>
  <si>
    <t>Wunsch, C</t>
  </si>
  <si>
    <t>Greenland - Antarctic phase relations and millennial time-scale climate fluctuations in the Greenland ice-cores</t>
  </si>
  <si>
    <t>QUATERNARY SCIENCE REVIEWS</t>
  </si>
  <si>
    <t>SHARP SPECTRAL-LINES; OXYGEN-ISOTOPE; NORTH-ATLANTIC; BERYLLIUM 10; RECORD; EVENTS; SUMMIT; END</t>
  </si>
  <si>
    <t>The Greenland (GRIP/GISP2) and Antarctic (Byrd) ice-cores are examined in the frequency domain, with the data synchronized using common methane variations. Using conventional time-series analysis, a simple picture emerges: there is low-frequency (periods longer than about 10 kyr) coherence between the two records, consistent with a simple time delay, Antarctica leading by 1-2 kyr. Two geographical data points are however, inadequate to infer causality from the south to north time lag. At higher frequencies, in the millennial band, there is no measurable average relationship between the records and they appear to represent different processes, with a regional character. A serious question concerns the extent to which the Greenland cores reflect tracer concentration change without corresponding abrupt climate change. The large, abrupt shifts in ice 6180 can be rationalized as owing to wind trajectory shifts, perhaps of rather modest size. Many different physical phenomena probably do, however, contribute to the record as a function of time, and time scale. (C) 2003 Elsevier Ltd. All rights reserved.</t>
  </si>
  <si>
    <t>MIT, Dept Earth Atmospher &amp; Planetary Sci, Cambridge, MA 02139 USA</t>
  </si>
  <si>
    <t>Massachusetts Institute of Technology (MIT)</t>
  </si>
  <si>
    <t>MIT, Dept Earth Atmospher &amp; Planetary Sci, 77 Massachusetts Ave,54-1520, Cambridge, MA 02139 USA.</t>
  </si>
  <si>
    <t>cwunsch@ocean.mit.edu</t>
  </si>
  <si>
    <t>0277-3791</t>
  </si>
  <si>
    <t>QUATERNARY SCI REV</t>
  </si>
  <si>
    <t>Quat. Sci. Rev.</t>
  </si>
  <si>
    <t>15-17</t>
  </si>
  <si>
    <t>10.1016/S0277-3791(03)00152-5</t>
  </si>
  <si>
    <t>707HF</t>
  </si>
  <si>
    <t>WOS:000184504700006</t>
  </si>
  <si>
    <t>Levina, EV; Kalinovskii, AI; Stonik, VA; Dmitrenok, PS</t>
  </si>
  <si>
    <t>Steroidal polyols from far-eastern starfishes Henricia sanguinolenta and H-leviusculd leviuscula</t>
  </si>
  <si>
    <t>RUSSIAN CHEMICAL BULLETIN</t>
  </si>
  <si>
    <t>starfish; Henricia sanguinolenta; H. l. leviuscula; polyhydroxysteroids; glycosides; aglycons; H-1 and C-13 NMR spectra</t>
  </si>
  <si>
    <t>ANTARCTIC STARFISH; POLAR STEROIDS; SPONGE; OLIGOGLYCOSIDES; SAPONINS; POLYHYDROXYSTEROIDS; GLYCOSIDES; SULFATES; RING</t>
  </si>
  <si>
    <t>Two new compounds were isolated from two Far-Eastern starfish species, Henricia sanguinolenta and H. leviuscula leviuscula, collected in the Sea of Okhotsk, viz., the glycoside sanguinoside C, (20R,22E,24R,25.S)-3-O-(2,3,4-tri-O-methyl-beta-xylopyranosyl)-24-methyl-5alpha-cholest-22-ene-3beta,4beta,6beta,8beta,15alpha,26-hexol, and a steroidal ketone, (20R,24S)-3beta,6beta,24-trihydroxy-5alpha-cholestan-15-one. They exhibit moderate cytostatic activity with respect to the eggs of sea urchin Strongylocentrotus intermedius.</t>
  </si>
  <si>
    <t>Russian Acad Sci, Pacific Inst Bioorgan Chem, Far Eastern Branch, Vladivostok 690022, Russia</t>
  </si>
  <si>
    <t>Russian Academy of Sciences; Elyakov Pacific Institute of Bioorganic Chemistry</t>
  </si>
  <si>
    <t>Levina, EV (corresponding author), Russian Acad Sci, Pacific Inst Bioorgan Chem, Far Eastern Branch, 159 Prosp 100 Letiya Vladivostoka, Vladivostok 690022, Russia.</t>
  </si>
  <si>
    <t>Dmitrenok, Pavel S/N-3307-2013; Stonik, Valentin/O-1985-2013</t>
  </si>
  <si>
    <t>CONSULTANTS BUREAU</t>
  </si>
  <si>
    <t>1066-5285</t>
  </si>
  <si>
    <t>RUSS CHEM B+</t>
  </si>
  <si>
    <t>Russ. Chem. Bull.</t>
  </si>
  <si>
    <t>10.1023/A:1025613714119</t>
  </si>
  <si>
    <t>Chemistry, Multidisciplinary</t>
  </si>
  <si>
    <t>733ER</t>
  </si>
  <si>
    <t>WOS:000185987400026</t>
  </si>
  <si>
    <t>Li, XL; Liu, XH; Ju, YT; Huang, FX</t>
  </si>
  <si>
    <t>Properties of soils in Grove Mountains, East Antarctica</t>
  </si>
  <si>
    <t>SCIENCE IN CHINA SERIES D-EARTH SCIENCES</t>
  </si>
  <si>
    <t>the Grove Mountains; cold desert soil; desert pavement; soluble salt; Fe-d</t>
  </si>
  <si>
    <t>CLASSIFICATION; REGION; ORIGIN; SALTS</t>
  </si>
  <si>
    <t>Three cold desert soil sites were first found in the southern Mount Harding, Grove Mountains, East Antarctica. The soils are characteristics of the widespread occurrence of surface desert pavement, abundant water-soluble salts, strongly stained upper portion of soil profile, slightly acid and negligible organic matter content. A 1:5 soil-water extracts analysis indicates that the dominant cations are Mg2+ and Na+, followed by Ca2+ and K+, and the main anion is SO42-, then 4 Cl- and NO3-. The accumulation of water-soluble salts indicates ion transportation in the frigid and arid Antarctica environment. The distribution of the salts is related to the maximum content of moisture and clay mineral. Clay fraction migration occurs in the soils, which is different from that of other cold desert soils. The upper horizons of some profiles are generally stained, namely rubification, primarily because of the weathering of iron-bearing minerals. The reddish hues of cold desert soils have been attributed to relatively high concentrations of dithionite-extractable Fe (Fe-d). The weathering features of soils suggest that the soil age of this area is 0.5-3.5 Ma. No remnants of glaciations were found on the soil sites of Mount Harding, which suggests that the Antarctic glaciations have not reached the soil sites since at least 0.5 Ma, even during the Last Glacial Maximum.</t>
  </si>
  <si>
    <t>Chinese Acad Sci, Inst Geol &amp; Geophys, Beijing 100029, Peoples R China</t>
  </si>
  <si>
    <t>Chinese Academy of Sciences; Institute of Geology &amp; Geophysics, CAS</t>
  </si>
  <si>
    <t>Li, XL (corresponding author), Chinese Acad Sci, Inst Geol &amp; Geophys, Beijing 100029, Peoples R China.</t>
  </si>
  <si>
    <t>sclimb@sohu.com</t>
  </si>
  <si>
    <t>1006-9313</t>
  </si>
  <si>
    <t>SCI CHINA SER D</t>
  </si>
  <si>
    <t>Sci. China Ser. D-Earth Sci.</t>
  </si>
  <si>
    <t>10.1360/03yd9060</t>
  </si>
  <si>
    <t>685VD</t>
  </si>
  <si>
    <t>WOS:000183283600005</t>
  </si>
  <si>
    <t>Mélice, JL; Lutjeharms, JRE; Rouault, M; Ansorge, IJ</t>
  </si>
  <si>
    <t>Sea-surface temperatures at the sub-Antarctic islands Marion and Gough during the past 50 years</t>
  </si>
  <si>
    <t>SOUTH AFRICAN JOURNAL OF SCIENCE</t>
  </si>
  <si>
    <t>WAVELET; CLIMATE</t>
  </si>
  <si>
    <t>Sea-surface temperatures (SSTs) have been measured at Marion and Gough islands for nearly 50 years. These are some of the longest records of their kind in the sub-Antarctic. We present the trend, the seasonal cycle, and the time-frequency characteristics of the SST for both islands, which rose by 1.4degreesC at Marion Island and by 0.5degreesC at Gough Island over the 50-year period. Intermittent temperature oscillations, with periods of between 1 and 5 years, were observed throughout the record. A 5-year periodicity, compatible with an Antarctic Circumpolar Wave signature, dominated after 1990 in both records. We also observed a strong low-frequency component with a period varying from 9.3 to 11.4 years at Marion Island, and a much weaker component with a period varying from 9.9 to 11.8 years at Gough Island.</t>
  </si>
  <si>
    <t>Univ Cape Town, Dept Oceanog, ZA-7701 Rondebosch, South Africa; Univ Paris 06, IPSL, Inst Rech Dev, Lab Oceanog Dynam &amp; Climatol, F-75252 Paris, France</t>
  </si>
  <si>
    <t>University of Cape Town; Sorbonne Universite; Institut de Recherche pour le Developpement (IRD); Universite Paris Cite</t>
  </si>
  <si>
    <t>Mélice, JL (corresponding author), Univ Cape Town, Dept Oceanog, ZA-7701 Rondebosch, South Africa.</t>
  </si>
  <si>
    <t>Rouault, Mathieu/A-5022-2008; ANSORGE, ISABELLE/AAY-7396-2020</t>
  </si>
  <si>
    <t>Rouault, Mathieu/0000-0002-3207-6777; Ansorge, Isabelle/0000-0001-7071-8147</t>
  </si>
  <si>
    <t>ACAD SCIENCE SOUTH AFRICA A S S AF</t>
  </si>
  <si>
    <t>LYNWOOD RIDGE</t>
  </si>
  <si>
    <t>PO BOX 72135, LYNWOOD RIDGE 0040, SOUTH AFRICA</t>
  </si>
  <si>
    <t>0038-2353</t>
  </si>
  <si>
    <t>S AFR J SCI</t>
  </si>
  <si>
    <t>S. Afr. J. Sci.</t>
  </si>
  <si>
    <t>7-8</t>
  </si>
  <si>
    <t>738HX</t>
  </si>
  <si>
    <t>WOS:000186282100019</t>
  </si>
  <si>
    <t>Vallelonga, P; Candelone, JP; Van de Velde, K; Curran, MAJ; Morgan, VI; Rosman, KJR</t>
  </si>
  <si>
    <t>Lead, Ba and Bi in Antarctic Law Dome ice corresponding to the 1815 AD Tambora eruption: an assessment of emission sources using Pb isotopes</t>
  </si>
  <si>
    <t>lead isotopes; volcanism; Mount Erebus; barium; bismuth; thermal ionisation mass spectrometry</t>
  </si>
  <si>
    <t>IONIZATION MASS-SPECTROMETRY; HEAVY-METALS; ATMOSPHERIC-POLLUTION; CENTRAL GREENLAND; TRACE-METALS; POLAR SNOW; CORES; HEMISPHERE; VOLCANOS; HISTORY</t>
  </si>
  <si>
    <t>Lead, Ba and Bi concentrations and Pb isotopic compositions have been measured in Antarctic Law Dome (66.8degreesS, 112.4degreesE) ice dated from 1814 AD to 1819 AD by thermal ionisation mass spectrometry to investigate the possible deposition of heavy metals from the 1815 AD eruption of Tambora volcano (8.5degreesS, 117.4degreesE) in Indonesia. Although volcanic S emissions from Tambora (observed as SO42-) are present in the Antarctic ice core record, there are grounds to question the origin of the Pb and Bi also deposited at Law Dome from late 1817, as the Pb isotope data suggest this Pb originated from Mount Erebus (77.5degreesS, 167.2degreesE) on Ross Island, Antarctica. It is shown that at least 97% of any Pb and Bi emitted from Tambora was removed from the atmosphere within the 1.6 year period required to transport aerosols from Indonesia to Antarctica. Consequently, increased Pb and Bi concentrations observed in Law Dome ice about 1818 AD are attributed to either increased heavy metal emissions from Mount Erebus, or increased fluxes of heavy metals to the Antarctic ice sheet resulting from climate and meteorological modifications following the Tambora eruption. Elevated Ba concentrations, observed from mid-1816 to mid-1818, indicate increased atmospheric loading of rock and soil dust also occurred at the time. Crown Copyright (C) 2003 Elsevier Science B.V. All rights reserved.</t>
  </si>
  <si>
    <t>Curtin Univ Technol, Dept Appl Phys, Perth, WA 6845, Australia; Antartic CRC, Hobart, Tas 7001, Australia; Australian Antarctic Div, Hobart, Tas 7001, Australia</t>
  </si>
  <si>
    <t>Curtin University; Australian Antarctic Division</t>
  </si>
  <si>
    <t>Vallelonga, P (corresponding author), Curtin Univ Technol, Dept Appl Phys, GPO Box U 1987, Perth, WA 6845, Australia.</t>
  </si>
  <si>
    <t>Vallelonga, Paul/I-9650-2016</t>
  </si>
  <si>
    <t>Vallelonga, Paul/0000-0003-1055-7235</t>
  </si>
  <si>
    <t>JUN 30</t>
  </si>
  <si>
    <t>10.1016/S0012-821X(03)00208-5</t>
  </si>
  <si>
    <t>694UF</t>
  </si>
  <si>
    <t>WOS:000183792400010</t>
  </si>
  <si>
    <t>Gooseff, MN; McKnight, DM; Runke, RL; Vaughn, BH</t>
  </si>
  <si>
    <t>Determining long time-scale hyporheic zone flow paths in Antarctic streams</t>
  </si>
  <si>
    <t>HYDROLOGICAL PROCESSES</t>
  </si>
  <si>
    <t>isotope transport; OTIS; dry valleys; hyporheic zone</t>
  </si>
  <si>
    <t>MOUNTAIN STREAM; STABLE-ISOTOPES; WATER; TRANSPORT; EXCHANGE; VALLEY; LAKE; EVAPORATION; MECHANISMS; COMPONENTS</t>
  </si>
  <si>
    <t>In the McMurdo Dry Valleys of Antarctica, glaciers are the source of meltwater during the austral summer, and the streams and adjacent hyporheic zones constitute the entire physical watershed; there are no hillslope processes in these systems. Hyporheic zones can extend several metres from each side of the stream, and are up to 70 cm deep, corresponding to a lateral cross-section as large as 12 m(2), and water resides in the subsurface year around. In this study, we differentiate between the near-stream hyporheic zone, which can be characterized with stream tracer experiments, and the extended hyporheic zone, which has a longer time-scale of exchange. We sampled stream water from Green Creek and from the adjacent saturated alluvium for stable isotopes of D and O-18 to assess the significance and extent of stream-water exchange between the streams and extended hyporheic zones over long time-scales (days to weeks). Our results show that water residing in the extended hyporheic zone is much more isotopically enriched (up to 11parts per thousand D and 2-2parts per thousand O-18) than stream water. This result suggests a long residence time within the extended hyporheic zone, during which fractionation has occurred owing to summer evaporation and winter sublimation of hyporheic water. We found less enriched water in the extended hyporheic zone later in the flow season, suggesting that stream water may be exchanged into and out of this zone, on the time-scale of weeks to months. The transient storage model OTIS was used to characterize the exchange of stream water with the extended hyporheic zone. Model results yield exchange rates (a) generally an order magnitude lower (10(-5) s(-1)) than those determined using stream-tracer techniques on the same stream. In light of previous studies in these streams, these results suggest that the hyporheic zones in Antarctic streams have near-stream zones of rapid stream-water exchange, where 'fast' biogeochemical reactions may influence water chemistry, and extended hyporheic zones, in which slower biogeochemical reaction rates may affect stream-water chemistry at longer time-scales. Copyright (C) 2003 John Wiley Sons, Ltd.</t>
  </si>
  <si>
    <t>Univ Colorado, Inst Arctic &amp; Alpine Res, Boulder, CO 80309 USA; US Geol Survey, Denver Fed Ctr, Lakewood, CO 80225 USA</t>
  </si>
  <si>
    <t>University of Colorado System; University of Colorado Boulder; United States Department of the Interior; United States Geological Survey</t>
  </si>
  <si>
    <t>Utah State Univ, Dept Aquat Watershed &amp; Earth Resources, 5210 Old Main Hill, Logan, UT 84322 USA.</t>
  </si>
  <si>
    <t>gooseff@cnr.usu.edu</t>
  </si>
  <si>
    <t>Vaughn, Bruce/AAO-8867-2020; Gooseff, Michael/B-9273-2008; Gooseff, Michael N/N-6087-2015</t>
  </si>
  <si>
    <t>Gooseff, Michael N/0000-0003-4322-8315; VAUGHN, BRUCE/0000-0001-6503-957X; MCKNIGHT, DIANE/0000-0002-4171-1533</t>
  </si>
  <si>
    <t>0885-6087</t>
  </si>
  <si>
    <t>1099-1085</t>
  </si>
  <si>
    <t>HYDROL PROCESS</t>
  </si>
  <si>
    <t>Hydrol. Process.</t>
  </si>
  <si>
    <t>10.1002/hyp.1210</t>
  </si>
  <si>
    <t>Water Resources</t>
  </si>
  <si>
    <t>697VT</t>
  </si>
  <si>
    <t>WOS:000183964500001</t>
  </si>
  <si>
    <t>Cervato, C; Burckle, L</t>
  </si>
  <si>
    <t>Pattern of first and last appearance in diatoms: Oceanic circulation and the position of polar fronts during the Cenozoic</t>
  </si>
  <si>
    <t>diatoms; evolution; paleoceanography; oceanographic boundaries; Antarctic polar front; Cenozoic</t>
  </si>
  <si>
    <t>SOUTHERN-OCEAN; TROPICAL TEMPERATURES; GREENHOUSE EPISODES; GLACIAL-MAXIMUM; EOCENE; PALEOCLIMATOLOGY; RECONSTRUCTION; PACIFIC; OXYGEN</t>
  </si>
  <si>
    <t>[1] First and last occurrences of 389 diatom species from the first global Cenozoic record are used to reconstruct the position of major oceanographic boundaries. First appearances and extinctions group in three latitudinal bands: middle to high northern latitudes, equatorial region, and high southern latitudes. Sparse Paleogene occurrences were limited to southern high latitudes along the equivalent of the modern Antarctic polar front. Its late middle Eocene to middle Miocene position varied within 10degrees, and within a 20degrees band from middle Miocene to present, suggesting an association with global cooling. First and last occurrence events appear in the two remaining latitudinal regions during the Eocene and increase in a stepwise fashion, mimicking significant cooling events. At about 16 Ma, first and last appearances shift from the North Atlantic to the North Pacific. Low-latitude data suggest low surface water productivity prior to 40 Ma, while increased abundance from the middle Miocene correlates with expansion of the east Antarctic Ice Sheet.</t>
  </si>
  <si>
    <t>Iowa State Univ, Dept Geol &amp; Atmospher Sci, Ames, IA 50011 USA; Columbia Univ, Lamont Doherty Earth Observ, Palisades, NY 10964 USA</t>
  </si>
  <si>
    <t>Iowa State University; Columbia University</t>
  </si>
  <si>
    <t>Cervato, C (corresponding author), Iowa State Univ, Dept Geol &amp; Atmospher Sci, 253 Sci I, Ames, IA 50011 USA.</t>
  </si>
  <si>
    <t>Cervato, Cinzia/0000-0003-4643-1466</t>
  </si>
  <si>
    <t>JUN 28</t>
  </si>
  <si>
    <t>10.1029/2002PA000805</t>
  </si>
  <si>
    <t>708XJ</t>
  </si>
  <si>
    <t>WOS:000184595200001</t>
  </si>
  <si>
    <t>Fromm, M; Alfred, J; Pitts, M</t>
  </si>
  <si>
    <t>A unified, long-term, high-latitude stratospheric aerosol and cloud database using SAM II, SAGE II, and POAM II/III data: Algorithm description, database definition, and climatology</t>
  </si>
  <si>
    <t>PSC; aerosol; stratosphere; SAM; POAM; SAGE</t>
  </si>
  <si>
    <t>LIMB ATMOSPHERIC SPECTROMETER; NITRIC-ACID TRIHYDRATE; GAS-EXPERIMENT; POLAR VORTEX; POTENTIAL VORTICITY; ANTARCTIC VORTEX; EL-CHICHON; OZONE; WINTER; SATELLITE</t>
  </si>
  <si>
    <t>A 22 year, high-latitude, stratospheric aerosol and cloud database has been formed in a unified'' manner by combining the Stratospheric Aerosol Measurement (SAM) II, Stratospheric Aerosol and Gas Measurement ( SAGE) II, Polar Ozone and Aerosol Measurement (POAM) II, and POAM III 1 mum aerosol extinction profiles. The database is unified'' in that it embodies similar aerosol extinction measurements, uses a single meteorological data set, and employs a single algorithm for calculating background extinction and cloud detection thresholds. Latitude is constrained to poleward of 45degrees in each hemisphere. The Unified cloud detection algorithm and database are designed for the straightforward addition of new data when other compatible data sets (e.g., SAGE III) become available. Unified'' cloud detection is similar to, but a refinement of, earlier attempts to identify polar stratospheric clouds (PSCs) with SAM II and POAM II data. The Unified algorithm is instrument-independent and circumvents fundamental cloud detection pitfalls. The database contains over 73,000 (36,000) polar vortex-region profiles in the Antarctic (Arctic) and over 21,000 (2000) PSC observations. An introductory climatology of Unified background'' extinction is presented. It is seen that volcanic effects dominate the evolution of outside-vortex background extinctions, but perturbations apparently not related to volcanoes are seen as well. Interannual variations of background extinction fsinside the austral vortex are seen to be nearly decoupled from volcanic effects, while in the Arctic, inside-vortex extinctions show a considerable volcanic influence. An analysis of long-term PSC sighting is presented. Midwinter (July and January) PSC and clear-sky measurements at 20 km, in a fixed temperature range, are used for computing PSC probability. The grand average PSC probability calculated this way is nearly identical between hemispheres. In the Antarctic the interannual PSC probability pattern is distinctly cyclic but is convoluted by volcanic perturbations in background aerosol. In the Arctic the PSC probability has much less temporal coherence than in the Antarctic but is similarly impacted by volcanic background increases. An explanation for the variation in PSC probabilities, in terms of interannual differences in denitrification, is discussed. Finally, a statistical analysis of tropopause height in relation to PSC formation is also presented. PSC observations are seen to be strongly associated with elevated tropopause heights, indicating that tropospheric, synoptic-scale flow perturbations are the primary forcing mechanism for Arctic PSC formation, as evidenced in this long-term satellite record.</t>
  </si>
  <si>
    <t>Computat Phys Inc, Springfield, VA 22151 USA; NASA, Langley Res Ctr, Hampton, VA 23665 USA</t>
  </si>
  <si>
    <t>Computational Physics Inc; National Aeronautics &amp; Space Administration (NASA); NASA Langley Research Center</t>
  </si>
  <si>
    <t>Computat Phys Inc, 1801 Braddock Rd,Suite 210, Springfield, VA 22151 USA.</t>
  </si>
  <si>
    <t>mike.fromm@nrl.navy.mil; alfred@cpi.com; Michael.C.Pitts@nasa.gov</t>
  </si>
  <si>
    <t>Fromm, Michael/F-4639-2010</t>
  </si>
  <si>
    <t>JUN 26</t>
  </si>
  <si>
    <t>D12</t>
  </si>
  <si>
    <t>10.1029/2002JD002772</t>
  </si>
  <si>
    <t>708QA</t>
  </si>
  <si>
    <t>WOS:000184578400002</t>
  </si>
  <si>
    <t>Meredith, NP; Thorne, RM; Horne, RB; Summers, D; Fraser, BJ; Anderson, RR</t>
  </si>
  <si>
    <t>Statistical analysis of relativistic electron energies for cyclotron resonance with EMIC waves observed on CRRES</t>
  </si>
  <si>
    <t>EMIC waves; relativistic electrons; wave/particle interaction; outer radiation belt</t>
  </si>
  <si>
    <t>OUTER RADIATION BELT; WHISTLER-MODE CHORUS; PITCH-ANGLE SCATTERING; MAGNETIC STORM; RING CURRENT; PARTICLE INTERACTIONS; INNER MAGNETOSPHERE; GEOMAGNETIC STORMS; SYNCHRONOUS ORBIT; ZONE ELECTRONS</t>
  </si>
  <si>
    <t>Electromagnetic ion cyclotron (EMIC) waves which propagate at frequencies below the proton gyrofrequency can undergo cyclotron resonant interactions with relativistic electrons in the outer radiation belt and cause pitch-angle scattering and electron loss to the atmosphere. Typical storm-time wave amplitudes of 1-10 nT cause strong diffusion scattering which may lead to significant relativistic electron loss at energies above the minimum energy for resonance, E-min. A statistical analysis of over 800 EMIC wave events observed on the CRRES spacecraft is performed to establish whether scattering can occur at geophysically interesting energies (less than or equal to2 MeV). While E-min is well above 2 MeV for the majority of these events, it can fall below 2 MeV in localized regions of high plasma density and/or low magnetic field (f(pe)/f(ce,eq) &gt; 10) for wave frequencies just below the hydrogen or helium ion gyrofrequencies. These lower energy scattering events, which are mainly associated with resonant L-mode waves, are found within the magnetic local time range 1300 &lt; MLT &lt; 1800 for L &gt; 4.5. The average wave spectral intensity of these events (4-5 nT(2)/Hz) is sufficient to cause strong diffusion scattering. The spatial confinement of these events, together with the limited set of these waves that resonate with less than or equal to2 MeV electrons, suggest that these electrons are only subject to strong scattering over a small fraction of their drift orbit. Consequently, drift-averaged scattering lifetimes are expected to lie in the range of several hours to a day. EMIC wave scattering should therefore significantly affect relativistic electron dynamics during a storm. The waves that resonate with the similar toMeV electrons are produced by low-energy (similar tokeV) ring current protons, which are expected to be injected into the inner magnetosphere during enhanced convection events.</t>
  </si>
  <si>
    <t>UCL, Mullard Space Sci Lab, Dorking RH5 6NT, Surrey, England; Univ Calif Los Angeles, Dept Atmospher Sci, Los Angeles, CA 90095 USA; British Antarctic Survey, NERC, Cambridge CB3 0ET, England; Mem Univ Newfoundland, Dept Math &amp; Stat, St John, NF A1C 5S7, Canada; Univ KwaZulu Natal, Sch Pure &amp; Appl Phys, ZA-4001 Durban, South Africa; Univ Newcastle, Dept Phys, Newcastle, NSW 2308, Australia; Univ Iowa, Dept Phys &amp; Astron, Iowa City, IA 52242 USA</t>
  </si>
  <si>
    <t>University of London; University College London; University of California System; University of California Los Angeles; UK Research &amp; Innovation (UKRI); Natural Environment Research Council (NERC); NERC British Antarctic Survey; Memorial University Newfoundland; University of Kwazulu Natal; University of Newcastle; University of Iowa</t>
  </si>
  <si>
    <t>UCL, Mullard Space Sci Lab, Holmbury St Mary, Dorking RH5 6NT, Surrey, England.</t>
  </si>
  <si>
    <t>npm@mssl.ucl.ac.uk; rmt@atmos.ucla.edu; r.horne@bas.ac.uk; dsummers@math.mun.ca; phbjf@cc.newcastle.edu.au; roger-r-anderson@uiowa.edu</t>
  </si>
  <si>
    <t>Meredith, Nigel P/C-5806-2018; Horne, Richard B/U-3764-2019</t>
  </si>
  <si>
    <t>A6</t>
  </si>
  <si>
    <t>10.1029/2002JA009700</t>
  </si>
  <si>
    <t>708WL</t>
  </si>
  <si>
    <t>WOS:000184593000005</t>
  </si>
  <si>
    <t>Li, JP; Wang, JLXL</t>
  </si>
  <si>
    <t>A modified zonal index and its physical sense</t>
  </si>
  <si>
    <t>NORTHERN HEMISPHERE; ANTARCTIC OSCILLATION; SOUTHERN OSCILLATION; GEOPOTENTIAL HEIGHT</t>
  </si>
  <si>
    <t>A modified zonal index (ZI) for the Northern Hemisphere (NH) general circulation is defined as the normalized difference in zonal-averaged sea level pressure anomalies between 35degreesN and 65degreesN. The ZI is a measure of hemispheric-wide fluctuations in air mass between two annular belts of action (ABAs) over middle and high latitudes, centered near 35degreesN and 65degreesN, respectively. The spatial structure of the NH general circulation represented by the ZI is a zonally symmetric pattern, similar to the NH annular mode. Some physical features associated with the ZI are discussed and summarized as a concept model, and the analysis indicates that the Ferrel cell stands out as a dominant signal in the zonal-mean circulation anomalies related to the ZI, implying a strong dynamical property of the general circulation in the mid-high latitudes.</t>
  </si>
  <si>
    <t>Chinese Acad Sci, Inst Atmospher Phys, Natl Key Lab Numer Modeling Atmospher Sci &amp; Geoph, Beijing 100029, Peoples R China; NOAA, Air Resources Lab, Silver Spring, MD 20910 USA</t>
  </si>
  <si>
    <t>Chinese Academy of Sciences; Institute of Atmospheric Physics, CAS; National Oceanic Atmospheric Admin (NOAA) - USA</t>
  </si>
  <si>
    <t>Chinese Acad Sci, Inst Atmospher Phys, Natl Key Lab Numer Modeling Atmospher Sci &amp; Geoph, Beijing 100029, Peoples R China.</t>
  </si>
  <si>
    <t>ljp@lasg.iap.ac.cn; julian.wang@noaa.gov</t>
  </si>
  <si>
    <t>Wang, Julian/C-3188-2016; Li, Jianping/I-2661-2012</t>
  </si>
  <si>
    <t>Li, Jianping/0000-0003-0625-1575</t>
  </si>
  <si>
    <t>JUN 24</t>
  </si>
  <si>
    <t>10.1029/2003GL017441</t>
  </si>
  <si>
    <t>698KV</t>
  </si>
  <si>
    <t>WOS:000183999500004</t>
  </si>
  <si>
    <t>Jouzel, J; Vimeux, F; Caillon, N; Delaygue, G; Hoffmann, G; Masson-Delmotte, V; Parrenin, F</t>
  </si>
  <si>
    <t>Magnitude of isotope/temperature scaling for interpretation of central Antarctic ice cores</t>
  </si>
  <si>
    <t>water isotopes; temperature estimate; Antarctica; deuterium; oxygen 18</t>
  </si>
  <si>
    <t>GENERAL-CIRCULATION MODEL; LAST GLACIAL MAXIMUM; WATER ISOTOPES; TEMPERATURE-CHANGE; DEUTERIUM EXCESS; VOSTOK STATION; TIME-VARIATION; DELTA-D; PRECIPITATION; CLIMATE</t>
  </si>
  <si>
    <t>[1] The conventional interpretation of ice core deuterium and oxygen 18 isotope profiles based on the use of present-day observations (spatial slope) underestimates glacial-interglacial surface temperature changes in Central Greenland by up to a factor of two. This likely results from changes in the seasonality of the precipitation due to the particular location of the Greenland ice sheet next to the highly variable northern polar front. In this regard the situation is much simpler for central Antarctica and this should be reflected in the temperature interpretation of ice core isotopic records. With this in mind, we closely examine all relevant information, focusing on the East Antarctic Plateau where both model and empirical isotope-temperature estimates are available. We point to the fact that correctly accounting for the influence of ocean isotopic change is important when interpreting deuterium profiles from ice cores in this region. The evidence presently available indicates that, unlike for Greenland, the present-day spatial-slope can probably be taken as a surrogate of the temporal slope to interpret glacial-interglacial isotopic changes at sites such as Vostok and EPICA Dome C. Corresponding temperature changes are within -10% to +30% of those obtained from the conventional interpretation based on the use of the spatial slope.</t>
  </si>
  <si>
    <t>Ctr Etud Saclay, IPSL, LSCE, F-91191 Gif Sur Yvette, France; Inst Rech Dev, Paris, France; CEREGE, F-13545 Aix En Provence, France; CNRS, Lab Glaciol &amp; Geophys Environm, St Martin Dheres, France</t>
  </si>
  <si>
    <t>Universite Paris Cite; CEA; Centre National de la Recherche Scientifique (CNRS); Universite Paris Saclay; Institut de Recherche pour le Developpement (IRD); Aix-Marseille Universite; Centre National de la Recherche Scientifique (CNRS)</t>
  </si>
  <si>
    <t>Ctr Etud Saclay, IPSL, LSCE, F-91191 Gif Sur Yvette, France.</t>
  </si>
  <si>
    <t>jouzel@lsce.saclay.cea.fr</t>
  </si>
  <si>
    <t>Masson-Delmotte, Valerie L/G-1995-2011; Parrenin, Frédéric/H-3054-2014; Caillon, Nicolas/B-7127-2019</t>
  </si>
  <si>
    <t>Masson-Delmotte, Valerie L/0000-0001-8296-381X; Parrenin, Frédéric/0000-0002-9489-3991; Caillon, Nicolas/0000-0002-6318-6194</t>
  </si>
  <si>
    <t>10.1029/2002JD002677</t>
  </si>
  <si>
    <t>698KX</t>
  </si>
  <si>
    <t>WOS:000183999700002</t>
  </si>
  <si>
    <t>Bradshaw, CJA; Hindell, MA; Best, NJ; Phillips, KL; Wilson, G; Nichols, PD</t>
  </si>
  <si>
    <t>You are what you eat:: describing the foraging ecology of southern elephant seals (Mirounga leonina) using blubber fatty acids</t>
  </si>
  <si>
    <t>PROCEEDINGS OF THE ROYAL SOCIETY B-BIOLOGICAL SCIENCES</t>
  </si>
  <si>
    <t>fatty acid signature analysis; foraging; diet; spatial variation; seasonal variation</t>
  </si>
  <si>
    <t>ANTARCTIC FUR SEALS; KING-GEORGE-ISLAND; HALICHOERUS-GRYPUS; MYCTOPHID FISHES; CEPHALOPOD DIET; EAST ANTARCTICA; HARBOR SEALS; FOOD-WEB; PREY; SIGNATURES</t>
  </si>
  <si>
    <t>Understanding the trophodynamics of marine ecosystems requires data on the temporal and spatial variation in predator diet but, particularly for wide-ranging species, these data are often unavailable. The southern elephant seal (Mirounga leonina) consumes large quantities of fish and squid prey in the Southern Ocean relative to other marine mammals; however, how diet varies relative to seasonal and spatial foraging behaviour is unknown. We used fatty acid (FA) signature analysis of 63 blubber cores from adult female M. leonina over three seasons (winter 1999, summer 2000 and winter 2001) to determine diet structure. We detected significant differences between seasons and between the main foraging regions (Antarctic continental shelf versus pelagic). We used the FA profiles from 53 fish, squid and krill species to construct a discriminant function that would classify each seal, from its blubber sample as having a fish- or squid-FA profile. We determined that a higher proportion of M. leonina had fish-dominated diets during the winter and when foraging around the Antarctic continental shelf, and the majority had more squid-dominated diets during the summer when foraging pelagically. Thus, we were able to measure the coarse-scale diet structure of a major marine predator using FA profiles, and estimate its associated seasonal and temporal variation.</t>
  </si>
  <si>
    <t>Univ Tasmania, Sch Zool, Antarctic Wildlife Res Unit, Hobart, Tas 7001, Australia; CSIRO Marine Res, Hobart, Tas 7001, Australia; Univ Tasmania, Inst Antarctic &amp; So Ocean Studies, Hobart, Tas 7001, Australia; Univ Tasmania, Antarctic Cooperat Res Ctr, Hobart, Tas 7001, Australia</t>
  </si>
  <si>
    <t>University of Tasmania; Commonwealth Scientific &amp; Industrial Research Organisation (CSIRO); University of Tasmania; University of Tasmania</t>
  </si>
  <si>
    <t>Bradshaw, CJA (corresponding author), Univ Tasmania, Sch Zool, Antarctic Wildlife Res Unit, Private Bag 05, Hobart, Tas 7001, Australia.</t>
  </si>
  <si>
    <t>corey.bradshaw@utas.edu.au</t>
  </si>
  <si>
    <t>Bradshaw, Corey J. A./A-1311-2008; Hindell, Mark A/K-1131-2013; Nichols, Peter D/C-5128-2011; Hindell, Mark A/C-8368-2013</t>
  </si>
  <si>
    <t>Bradshaw, Corey J. A./0000-0002-5328-7741; Hindell, Mark/0000-0002-7823-7185</t>
  </si>
  <si>
    <t>0962-8452</t>
  </si>
  <si>
    <t>P ROY SOC B-BIOL SCI</t>
  </si>
  <si>
    <t>Proc. R. Soc. B-Biol. Sci.</t>
  </si>
  <si>
    <t>JUN 22</t>
  </si>
  <si>
    <t>10.1098/rspb.2003.2371</t>
  </si>
  <si>
    <t>Biology; Ecology; Evolutionary Biology</t>
  </si>
  <si>
    <t>Life Sciences &amp; Biomedicine - Other Topics; Environmental Sciences &amp; Ecology; Evolutionary Biology</t>
  </si>
  <si>
    <t>693BV</t>
  </si>
  <si>
    <t>Green Published, Green Accepted</t>
  </si>
  <si>
    <t>WOS:000183695500009</t>
  </si>
  <si>
    <t>Shepherd, A; Peacock, NR</t>
  </si>
  <si>
    <t>Ice shelf tidal motion derived from ERS altimetry</t>
  </si>
  <si>
    <t>tides; ocean; ice shelf; George VI Ice Shelf; satellite radar altimetry; response method</t>
  </si>
  <si>
    <t>ANTARCTIC PENINSULA; OCEAN TIDES; TOPEX/POSEIDON ALTIMETRY; MODEL; GLACIER; VARIABILITY; PREDICTION</t>
  </si>
  <si>
    <t>[1] Ocean tides beneath floating ice shelves can affect heat and water circulations within the subshelf cavity, which may influence patterns of basal melting. Accurate tidal predictions are essential to eliminate vertical tide motions when mapping the flow speeds and thickness changes of floating ice. Global ocean tide solutions are typically accurate to 2 - 3 cm in amplitude. However, their coarse resolution limits their utility in coastal regions. Moreover, the absence of satellite and extensive gauge station data in the polar regions has resulted in significant differences between recent tide model solutions around the Antarctic continent. We use 9 years of high-resolution European Remote Sensing (ERS) satellite radar altimeter range measurements and a modified form of the orthotide method to generate tidal solutions for a series of ice shelves around the Antarctic Peninsula. We compare our tidal solution at George VI Ice Shelf on the western coast of the Antarctic Peninsula to direct measurements from British Antarctic Survey tide gauge records and contrast the results with solutions from the FES99 and Kantha2.0 ( global) and the CATS01.02 ( Antarctic) ocean tide models. The average root mean square vector difference between the tide gauge and tide model predictions of amplitude and phase was 10.9, 17.1, 4.2, and 15.4 cm for the ERS ice shelf, Kantha2.0, CATS01.02, and FES99 models, respectively. Tidal predictions derived from the ERS ice shelf model are closer to the tide gauge recordings than those of the global models, and the inclusion of ERS altimeter data may lead to improved global model performance.</t>
  </si>
  <si>
    <t>UCL, Ctr Polar Observat &amp; Modelling, London, England</t>
  </si>
  <si>
    <t>University of London; University College London</t>
  </si>
  <si>
    <t>Univ Cambridge, Scott Polar Res Inst, Lensfield Rd, Cambridge CB2 1ER, England.</t>
  </si>
  <si>
    <t>aps46@cam.ac.uk; Neil.Peacock@DrKW.com</t>
  </si>
  <si>
    <t>Shepherd, Andrew/0000-0002-4914-1299</t>
  </si>
  <si>
    <t>JUN 20</t>
  </si>
  <si>
    <t>C6</t>
  </si>
  <si>
    <t>10.1029/2001JC001152</t>
  </si>
  <si>
    <t>694AL</t>
  </si>
  <si>
    <t>WOS:000183750500001</t>
  </si>
  <si>
    <t>Meredith, NP; Cain, M; Horne, RB; Thorne, RM; Summers, D; Anderson, RR</t>
  </si>
  <si>
    <t>Evidence for chorus-driven electron acceleration to relativistic energies from a survey of geomagnetically disturbed periods</t>
  </si>
  <si>
    <t>relativistic electrons; electron acceleration; whistler mode chorus</t>
  </si>
  <si>
    <t>OUTER RADIATION BELT; WHISTLER-MODE CHORUS; MAGNETIC STORMS; INNER MAGNETOSPHERE; STOCHASTIC ACCELERATION; ZONE ELECTRONS; MAIN-PHASE; OCTOBER 9; WAVES; CRRES</t>
  </si>
  <si>
    <t>[1] We perform a survey of the plasma wave and particle data from the CRRES satellite during 26 geomagnetically disturbed periods to investigate the viability of a local stochastic electron acceleration mechanism to relativistic energies driven by Doppler-shifted cyclotron resonant interactions with whistler mode chorus. Relativistic electron flux enhancements associated with moderate or strong storms may be seen over the whole outer zone (3 &lt; L &lt; 7), typically peaking in the range 4 &lt; L &lt; 5, whereas those associated with weak storms and intervals of prolonged substorm activity lacking a magnetic storm signature (PSALMSS) are typically observed further out in the regions 4 &lt; L &lt; 7 and 4.5 &lt; L &lt; 7, respectively. The most significant relativistic electron flux enhancements are seen outside of the plasmapause and are associated with periods of prolonged substorm activity with AE greater than 100 nT for a total integrated time greater than 2 days or greater than 300 nT for a total integrated time greater than 0.7 days. These events are also associated with enhanced fluxes of seed electrons and enhanced lower-band chorus wave power with integrated lower-band chorus wave intensities of greater than 500 pT(2) day. No significant flux enhancements are seen unless the level of substorm activity is sufficiently high. These results are consistent with a local, stochastic, chorus-driven electron acceleration mechanism involving the energization of a seed population of electrons with energies of a few hundred keV to relativistic energies operating on a timescale of the order of days.</t>
  </si>
  <si>
    <t>UCL, Mullard Space Sci Lab, Dorking RH5 6NT, Surrey, England; Univ Iowa, Dept Phys &amp; Astron, Iowa City, IA 52242 USA; UCL, Dept Phys &amp; Astron, London WC1E 6BT, England; British Antarctic Survey, NERC, Cambridge CB3 0ET, England; Univ Calif Los Angeles, Dept Atmospher Sci, Los Angeles, CA 90095 USA; Mem Univ Newfoundland, Dept Math &amp; Stat, St John, NF A1C 5S7, Canada; Univ KwaZulu Natal, Sch Pure &amp; Appl Phys, ZA-4001 Durban, South Africa</t>
  </si>
  <si>
    <t>University of London; University College London; University of Iowa; University of London; University College London; UK Research &amp; Innovation (UKRI); Natural Environment Research Council (NERC); NERC British Antarctic Survey; University of California System; University of California Los Angeles; Memorial University Newfoundland; University of Kwazulu Natal</t>
  </si>
  <si>
    <t>npm@mssl.ucl.ac.uk; m.cain@ulfius.com; r.horne@bas.ac.uk; rmt@atmos.ucla.edu; dsummers@math.mun.ca; roger-r-anderson@uiowa.edu</t>
  </si>
  <si>
    <t>Horne, Richard B/U-3764-2019; Meredith, Nigel P/C-5806-2018; Cain, Michelle/AAX-4672-2021</t>
  </si>
  <si>
    <t>Horne, Richard B/0000-0002-0412-6407; Cain, Michelle/0000-0003-2062-6556; Meredith, Nigel/0000-0001-5032-3463</t>
  </si>
  <si>
    <t>10.1029/2002JA009764</t>
  </si>
  <si>
    <t>696JR</t>
  </si>
  <si>
    <t>WOS:000183884300005</t>
  </si>
  <si>
    <t>Allen, DR; Bevilacqua, RM; Nedoluha, GE; Randall, CE; Manney, GL</t>
  </si>
  <si>
    <t>Unusual stratospheric transport and mixing during the 2002 Antarctic winter</t>
  </si>
  <si>
    <t>OZONE HOLE; TROPOSPHERE</t>
  </si>
  <si>
    <t>Unusually large planetary wave activity in the 2002 Antarctic winter stratosphere weakened and warmed the polar vortex. Three minor warmings during August and early September preceded a late-September major warming when the middle stratospheric zonal winds reversed to easterly and the polar temperature increased by an additional 25 K. Polar Ozone and Aerosol Measurement (POAM III) ozone data at high southern latitudes show unusually large variability in 2002 compared to previous POAM III years (1998-2001). Analyses of air parcel transport indicate this variability is caused by large-scale isentropic transport. Diagnostics of transport and mixing show that during the major warming the lower stratospheric vortex remained intact, while the middle stratospheric vortex split into two pieces; one piece rapidly mixed with extravortex air, while the other returned to the pole as a much weaker and smaller vortex.</t>
  </si>
  <si>
    <t>USN, Res Lab, Remote Sensing Div, Washington, DC 20375 USA; Univ Colorado, Atmospher &amp; Space Phys Lab, Boulder, CO 80309 USA; CALTECH, Jet Prop Lab, Pasadena, CA USA; New Mexico Highlands Univ, Dept Nat Sci, Las Vegas, NM 87701 USA</t>
  </si>
  <si>
    <t>United States Department of Defense; United States Navy; Naval Research Laboratory; University of Colorado System; University of Colorado Boulder; California Institute of Technology; National Aeronautics &amp; Space Administration (NASA); NASA Jet Propulsion Laboratory (JPL)</t>
  </si>
  <si>
    <t>USN, Res Lab, Remote Sensing Div, 4555 Overlook Ave SW, Washington, DC 20375 USA.</t>
  </si>
  <si>
    <t>drallen@nrl.navy.mil; bevilacqua@nrl.navy.mil; nedoluha@nrl.navy.mil; randall@lasp.colorado.edu; manney@mls.jpl.nasa.gov</t>
  </si>
  <si>
    <t>Manney, Gloria/JED-7207-2023; Allen, Douglas Ray/GWZ-8901-2022; RANDALL, CORA/L-8760-2014</t>
  </si>
  <si>
    <t>RANDALL, CORA/0000-0002-4313-4397; Allen, Douglas/0000-0003-2747-9712</t>
  </si>
  <si>
    <t>JUN 17</t>
  </si>
  <si>
    <t>10.1029/2003GL017117</t>
  </si>
  <si>
    <t>693WZ</t>
  </si>
  <si>
    <t>WOS:000183742500002</t>
  </si>
  <si>
    <t>Dent, ZC; Mann, IR; Menk, FW; Goldstein, J; Wilford, CR; Clilverd, MA; Ozeke, LG</t>
  </si>
  <si>
    <t>A coordinated ground-based and IMAGE satellite study of quiet-time plasmaspheric density profiles</t>
  </si>
  <si>
    <t>ELECTRON-DENSITY; PLASMATROUGH; PLASMAPAUSE; WHISTLER; MODEL; HE+</t>
  </si>
  <si>
    <t>Cold plasma mass density profiles in the plasmasphere have been determined for the geomagnetically quiet day of 19th August 2000 using the cross-phase technique applied to ground-based magnetometer data from the SAMNET, IMAGE and BGS magnetometer arrays. Cross-phase derived mass densities have been compared to electron densities derived from both ground-based VLF receiver measurements, and the IMAGE satellite RPI. The cross-phase results are in excellent agreement with both the VLF and IMAGE observational results, thus validating the cross-phase technique during quiet times. This is the first such coordinated multi-instrument study, and has enabled very few heavy ions to be inferred in the plasmasphere for L&gt;3.45 on this day. The observational results were compared to plasma mass densities from the SUPIM model and were found to be in excellent agreement. IMAGE EUV data also verified the existence of azimuthal structure in the outer quiet-time plasmasphere.</t>
  </si>
  <si>
    <t>Univ York, Dept Phys, York YO10 5DD, N Yorkshire, England; Univ Newcastle, Sch Math &amp; Phys Sci, Newcastle, NSW 2308, Australia; Univ Newcastle, CRC Satellite Syst, Newcastle, NSW 2308, Australia; Rice Univ, Dept Phys &amp; Astron, Houston, TX 77251 USA; Univ Sheffield, Dept Appl Math, Space &amp; Atmosphere Res Grp, Sheffield, S Yorkshire, England; British Antarctic Survey, Cambridge CB3 0ET, England</t>
  </si>
  <si>
    <t>University of York - UK; University of Newcastle; University of Newcastle; Rice University; University of Sheffield; UK Research &amp; Innovation (UKRI); Natural Environment Research Council (NERC); NERC British Antarctic Survey</t>
  </si>
  <si>
    <t>Univ York, Dept Phys, York YO10 5DD, N Yorkshire, England.</t>
  </si>
  <si>
    <t>zdent@space.ualberta.ca; imann@space.ualberta.ca; Fred.Menk@newcastle.edu.au; jerru@rice.edu; C.Wilford@sheffield.ac.uk; m.clilverd@bas.ac.uk; lozeke@phys.ualberta.ca</t>
  </si>
  <si>
    <t>Menk, Frederick/A-2640-2009</t>
  </si>
  <si>
    <t>Menk, Frederick/0000-0002-1154-6223</t>
  </si>
  <si>
    <t>10.1029/2003gl016946</t>
  </si>
  <si>
    <t>WOS:000183742500001</t>
  </si>
  <si>
    <t>Stepanjants, SD; Christiansen, BO; Svoboda, A; Anokhin, BA</t>
  </si>
  <si>
    <t>The genus Monocoryne (Hydrozoa, Capitata):: peculiarities of morphology, species composition, biology and distribution</t>
  </si>
  <si>
    <t>Cnidaria; Hydrozoa; Monocoryne; polyps; colonies; gonophores; tentacles; bipolarity</t>
  </si>
  <si>
    <t>HYDROIDS; WATERS</t>
  </si>
  <si>
    <t>A revision of the genus Monocoryne was undertaken following analysis of peculiarities noted in earlier descriptions of the nominal species. Type specimens of Monocoryne gigantea from northern Norway and Monocoryne minor from South Africa were examined. In addition, non-type I material from the Arctic Ocean, Antarctic Seas and the Kuril Islands was studied, and descriptions of species from Alaska and the Canadian Archipelago were investigated. A new diagnosis of the genus Monocoryne, provided here, was a necessary outcome of these studies. Most importantly, hydroids (in species of the genus) are colonial or solitary which differ from Bonnevie's original diagnosis. The collection of solitary polyps is a result of the tenuous nature of the colonies, which tend to fall to pieces. Species of Monocoryne are found in Arctic, Antarctic and temperate waters of the northern and southern hemispheres, and the genus may thus be regarded as bipolar. Although recognized species of Monocoryne are quite similar morphologically, four of them are recognized here to be valid based on current evidence. This conclusion is also supported by their distribution patterns.</t>
  </si>
  <si>
    <t>Russian Acad Sci, Inst Zool, St Petersburg 199034, Russia; Univ Oslo, Dept Biol, NO-0316 Oslo, Norway; Ruhr Univ Bochum, D-44780 Bochum, Germany</t>
  </si>
  <si>
    <t>Russian Academy of Sciences; Zoological Institute of the Russian Academy of Sciences; University of Oslo; Ruhr University Bochum</t>
  </si>
  <si>
    <t>Stepanjants, SD (corresponding author), Russian Acad Sci, Inst Zool, St Petersburg 199034, Russia.</t>
  </si>
  <si>
    <t>Anokhin, Boris/R-5199-2017</t>
  </si>
  <si>
    <t>Anokhin, Boris/0000-0002-4110-6704</t>
  </si>
  <si>
    <t>JUN 16</t>
  </si>
  <si>
    <t>10.1080/00364820310001714</t>
  </si>
  <si>
    <t>696WG</t>
  </si>
  <si>
    <t>WOS:000183910100001</t>
  </si>
  <si>
    <t>Kryc, KA; Murray, RW; Murray, DW</t>
  </si>
  <si>
    <t>Al-to-oxide and Ti-to-organic linkages in biogenic sediment: relationships to paleo-export production and bulk Al/Ti</t>
  </si>
  <si>
    <t>aluminium; titanium; export production; sequential extractions; marine sediments</t>
  </si>
  <si>
    <t>EQUATORIAL PACIFIC-OCEAN; PAPUA-NEW-GUINEA; DISSOLVED ALUMINUM; NORTH-ATLANTIC; DEEP-SEA; SEQUENTIAL EXTRACTION; PELAGIC SEDIMENTS; MARINE-SEDIMENTS; SUSPENDED BARITE; SOUTHERN-OCEAN</t>
  </si>
  <si>
    <t>To increase our understanding of the mechanisms that control the distribution of Al and Ti within marine sediment, we performed sequential extractions targeting the chemical signatures of the loosely bound, exchangeable, carbonate, oxide, organic, opal, and residual fraction of sediment from a carbonate-dominated regime (equatorial Pacific) and from a mixed opal-terrigenous regime (West Antarctic Peninsula). We observe a systematic partitioning of Al and Ti between sediment phases that is related to bulk Al/Ti. We show that, where we can quantify an Al-excess component, the dissolved At is preferentially affiliated with the oxide fraction, resulting in Al/Ti molar ratios of 500-3000. This is interpreted as the result of surface complexation in the water column of dissolved At onto oxyhydroxides. We also observe a previously undetected Ti-excess with as much as 80% of the total Ti in the organic fraction, which is most likely a function of metal-organic colloidal removal from the water column. In samples where the excess metals are obscured by the detrital load, the At and Ti are almost exclusively found in the residual phase. This argues for the paired removal of At (preferentially by the oxide component) and Ti (preferentially by the organic component) from the water column by settling particulate matter. This research builds upon earlier work that shows changes in the bulk ratio of Al to Ti in carbonate sediment from the central-equatorial Pacific that coincide with changes in the sedimentary bulk accumulation rate (BAR). The ratios that are observed are as much as three times higher than typical shale values, and were interpreted as the result of scavenging of dissolved At onto particles settling in the water column. Because this non-terrigenous Al-excess accounts for up to 50% of the total sedimentary Al inventory and correlates best with BAR, the bulk Al/Ti may be a sensitive tracer of particle flux and, therefore, export production. Because we show that the excess metals are the result of scavenging processes, the bulk Al/Ti may be considered a sensitive proxy for this region. (C) 2003 Elsevier Science B.V. All rights reserved.</t>
  </si>
  <si>
    <t>Boston Univ, Dept Earth Sci, Boston, MA 02215 USA; Brown Univ, Ctr Environm Studies, Providence, RI 02912 USA</t>
  </si>
  <si>
    <t>Boston University; Brown University</t>
  </si>
  <si>
    <t>Kryc, KA (corresponding author), Stanford Univ, Dept Geol &amp; Environm Sci, Stanford, CA 94305 USA.</t>
  </si>
  <si>
    <t>JUN 15</t>
  </si>
  <si>
    <t>10.1016/S0012-821X(03)00136-5</t>
  </si>
  <si>
    <t>690YF</t>
  </si>
  <si>
    <t>WOS:000183577500010</t>
  </si>
  <si>
    <t>Endo, T; Hotta, Y; Haraguchi, K; Sakata, M</t>
  </si>
  <si>
    <t>Mercury contamination in the red meat of whales and dolphins marketed for human consumption in Japan</t>
  </si>
  <si>
    <t>HEAVY-METALS; STENELLA-COERULEOALBA; FRENCH ATLANTIC; SELENIUM; ORGANOCHLORINE; PRODUCTS; PACIFIC; TISSUES; ORGANS; KOREA</t>
  </si>
  <si>
    <t>Cetacean products sold for human consumption in Japan originate from a wide range of whale, dolphin, and porpoise species caught off several areas of the Japan coast, Antarctic and North Pacific Oceans. We surveyed the total mercury (T-Hg) levels in red meat, the most popular cetacean products in Japan. We also analyzed the DNA of these to obtain information regarding species. According to the genetic analysis, the red meats originating from nine species of odontocete and six species of mystecete were sold in Japanese markets. T-Hg concentrations in all odontocete red meats (0.52-81.0 mug/wet g, n = 137) exceeded the provisional permitted level of T-Hg in marine foods set by the Japanese government (0.4 mug/wet g). The highest and second highest levels of T-Hg in the red meats were found in the false killer whale (81.0 mug/wet g) and striped dolphin (63.4 mug/wet g), respectively. These concentrations of T-Hg exceeded the permitted level of T-Hg by about 200 and 160 times, respectively, suggesting the possibility of chronic intoxication by methyl mercury due to frequent consumption of odontocete red meats. The T-Hg concentration levels were higher in odontocete species such as Baird's beaked whales and pilot whales caught off southern areas than those caught off northern areas, probably reflecting a higher T-Hg concentration in the seawater and/or their diet (squid and fish) in the southern area. On the other hand, T-Hg concentrations in all mystecete red meat samples except for one (0.01-0.54 mug/wet g, n = 62) were below the permitted level of T-Hg, probably reflecting their lower trophic levels.</t>
  </si>
  <si>
    <t>Hlth Sci Univ Hokkaido, Fac Pharmaceut Sci, Ishikari, Hokkaido 0610293, Japan; Daiichi Coll Pharmaceut Sci, Minami Ku, Fukuoka 8158511, Japan</t>
  </si>
  <si>
    <t>Health Sciences University of Hokkaido</t>
  </si>
  <si>
    <t>Hlth Sci Univ Hokkaido, Fac Pharmaceut Sci, 1757 Ishikari Tobetsu, Ishikari, Hokkaido 0610293, Japan.</t>
  </si>
  <si>
    <t>endotty@hoku-iryo-u.ac.jp</t>
  </si>
  <si>
    <t>Endo, Tetsuya/0000-0003-4278-5689</t>
  </si>
  <si>
    <t>1520-5851</t>
  </si>
  <si>
    <t>10.1021/es034055n</t>
  </si>
  <si>
    <t>689QR</t>
  </si>
  <si>
    <t>WOS:000183504900008</t>
  </si>
  <si>
    <t>Cremer, H; Gore, D; Melles, M; Roberts, D</t>
  </si>
  <si>
    <t>Palaeoclimatic significance of late Quaternary diatom assemblages from southern Windmill Islands, East Antarctica</t>
  </si>
  <si>
    <t>East Antarctica; late Quaternary; palaeoceanography; marine sediments; diatoms</t>
  </si>
  <si>
    <t>RADIOCARBON AGE CALIBRATION; LAST GLACIAL MAXIMUM; SEA-ICE; SURFACE SEDIMENTS; ATLANTIC SECTOR; PRYDZ BAY; PHYTOPLANKTON SUCCESSION; VESTFOLD HILLS; WILKES LAND; BUDD COAST</t>
  </si>
  <si>
    <t>The late Quaternary palaeoenvironmental history of the southern Windmill Islands, East Antarctica, has been reconstructed using diatom assemblages from two long, well-dated sediment cores taken in two marine bays. The diatom assemblage of the lowest sediment layers suggests a warm climate with mostly open water conditions during the late Pleistocene. During the following glacial, the Windmill Islands were covered by grounded ice preventing any in situ bioproductivity. Following deglaciation, a sapropel with a well-preserved diatom assemblage was deposited from similar to10 500 cal yr BP. Between similar to10 500 and similar to4000 cal yr BP, total organic carbon (C-org) and total diatom valve concentrations as well as the diatom species composition suggest relatively cool summer temperatures. Hydrological conditions in coastal bays were characterised by combined winter sea-ice and open water conditions. This extensive period of glacial retreat was followed by the Holocene optimum ( similar to4000 to similar to1000 cal yr BP), which occurred later in the southern Windmill Islands than in most other Antarctic coastal regions. Diatom assemblages in this period suggest ice-free conditions and meltwater-stratified waters in the marine bays during summer, which is also reflected in high proportions of freshwater diatoms in the sediments. The diatom assemblage in the upper sediments of both cores indicates Neoglacial cooling from similar to1000 cal yr BP, which again led to seasonally persistent sea-ice on the bays. The Holocene optimum and cooling trends in the Windmill Islands did not occur contemporaneously with other Antarctic coastal regions, showing that the here presented record reflects partly local environmental conditions rather than global climatic trends. (C) 2003 Elsevier Science B.V. All rights reserved.</t>
  </si>
  <si>
    <t>Univ Utrecht, Dept Geobiol, Lab Palaeobot &amp; Palynol, NL-3584 CD Utrecht, Netherlands; Macquarie Univ, Dept Phys Geog, N Ryde, NSW 2109, Australia; Univ Leipzig, Fac Phys &amp; Geosci, Inst Geophys &amp; Geol, D-04103 Leipzig, Germany; Univ Tasmania, Inst Antarctic &amp; So Ocean Studies, Hobart, Tas 7001, Australia</t>
  </si>
  <si>
    <t>Utrecht University; Macquarie University; Leipzig University; University of Tasmania</t>
  </si>
  <si>
    <t>Univ Utrecht, Dept Geobiol, Lab Palaeobot &amp; Palynol, Budapestlaan 4, NL-3584 CD Utrecht, Netherlands.</t>
  </si>
  <si>
    <t>h.cremer@bio.uu.nl</t>
  </si>
  <si>
    <t>Melles, Martin/J-4070-2012</t>
  </si>
  <si>
    <t>Melles, Martin/0000-0003-0977-9463; Roberts, Donna/0000-0001-6701-6662; Gore, Damian/0000-0002-0377-8518</t>
  </si>
  <si>
    <t>10.1016/S0031-0182(03)00361-4</t>
  </si>
  <si>
    <t>692ZC</t>
  </si>
  <si>
    <t>WOS:000183689300002</t>
  </si>
  <si>
    <t>Stilwell, JD</t>
  </si>
  <si>
    <t>Patterns of biodiversity and faunal rebound following the K-T boundary extinction event in Austral Palaeocene molluscan faunas</t>
  </si>
  <si>
    <t>Palaeocene; Austral; Mollusca; palaeontology; biodiversity; biotic recovery</t>
  </si>
  <si>
    <t>CRETACEOUS-TERTIARY BOUNDARY; CHATHAM-ISLANDS; WANGALOA FORMATION; MASS EXTINCTIONS; SEYMOUR-ISLAND; SOUTH-ISLAND; GASTROPODS; BIOGEOGRAPHY; DIVERSITY; PACIFIC</t>
  </si>
  <si>
    <t>Palaeocene molluscan faunas are characterised by complex evolutionary histories following the Cretaceous-Tertiary (K-T) boundary extinction event and exhibit dramatic, distinct signatures of composition and biodiversity levels relating to extinction and post-extinction recovery processes. This paper is the first to document and survey the entire Palaeocene record of the Southern Hemisphere, which comprises at least 515 recorded molluscan taxa from Australia, New Zealand/Chatham Islands, Antarctica, and South America. The record is much richer than previously recognised. The K T boundary event was a prime mechanism of change for the composition of Palaeocene faunas, but Palaeocene diversity patterns were shaped also by the final break-up of Gondwana, concomitant changes in climate and in oceanic circulation, and faunal recovery processes. The 'flip-flop' in diversity of bivalves and gastropods across the K-T boundary stems from a rapid, evolutionary burst of speciation in the Danian for gastropods, especially carnivorous forms with planktotrophic development, which infilled ecospace vacated by the extinction. In the Southern Hemisphere fossil record, deposit feeders were less affected by the extinction event and seemingly more extinction-resistant, but other important factors related to stratigraphic range and spectrum of life habits/habitats affected survivorship success. Suspension feeders, especially epifaunal forms, were hard hit by the extinction, but had bounced back within a few million years by late Danian time at the latest, but at lower diversity than during the Late Cretaceous. The extinction was not as marked in most southern regions, as reflected in the Antarctic record. In the Antarctic K-T boundary interval, diversity drops suddenly ca 50 in before the boundary, and while suspension feeders remain at low diversity for at least 300 kyr, gastropods still dominate the molluscan assemblages. Most of the K-T boundary molluscan survivors were bivalve species (66%) and all of these were members of representative genera that displayed extensive stratigraphic and geographic ranges in the Cretaceous or earlier in the Mesozoic. The majority of earliest Danian Antarctic molluscs belong to newly evolved species within surviving genera (58%), but by late Danian time this trend had changed to a dominance of new species in new genera. Many new groups arose during the Palaeocene, especially by late Danian time, and these faunas are highly distinctive at both genus and species level. For example, the Wangaloa Formation fauna of late Danian age (ca 63-61 Ma) is dominated by new species in new genera, ranging in values from 62.5 to 81%. A systematic catalogue of all known Palaeocene Austral species is presented herein in the Appendix for the first time with details of formation recorded, age, and inferred life habits. (C) 2003 Elsevier Science B.V. All rights reserved.</t>
  </si>
  <si>
    <t>James Cook Univ N Queensland, Sch Earth Sci, Townsville, Qld 4811, Australia; Monash Univ, Sch Geosci, Clayton, Vic 3800, Australia; Australian Museum, Ctr Evolutionary Res, Sydney, NSW 2000, Australia</t>
  </si>
  <si>
    <t>James Cook University; Monash University; Australian Museum</t>
  </si>
  <si>
    <t>James Cook Univ N Queensland, Sch Earth Sci, Townsville, Qld 4811, Australia.</t>
  </si>
  <si>
    <t>Jeffrey.Stilwell@jcu.edu.au</t>
  </si>
  <si>
    <t>Stilwell, Jeffrey Darl/0000-0002-9853-1322</t>
  </si>
  <si>
    <t>10.1016/S0031-0182(03)00364-X</t>
  </si>
  <si>
    <t>WOS:000183689300005</t>
  </si>
  <si>
    <t>Boger, SD; Wilson, CJL</t>
  </si>
  <si>
    <t>Brittle faulting in the Prince Charles Mountains, East Antarctica: Cretaceous transtensional tectonics related to the break-up of Gondwana</t>
  </si>
  <si>
    <t>Gondwana; Antarctica; Prince Charles Mountains; Lambert Graben; palaeostress analysis</t>
  </si>
  <si>
    <t>PRYDZ BAY; CRUSTAL STRUCTURE; STRESS; HISTORY; DYKES; LAKE</t>
  </si>
  <si>
    <t>The Lambert Glacier-Amery Ice Shelf occupies a narrow NNE-SSW-orientated fault-bound depression referred to as the Lambert Graben. Deep faults associated with this structure are recognised geophysically, and are interpreted to extend at least 700 km inland from the Antarctic coast. Kinematic and palaeostress data from quartz- and calcite-bearing faults, inferred to represent the surface expression of these deeper structures, suggest that a single faulting event occurred in response to NW-SE-directed extension, oblique to the axis of the graben. The bulk of the movement along these faults was dextral strike slip, accommodating components of both normal and reverse offset. In the northern Prince Charles Mountains, these faults disrupt the Permo-Triassic Amery Group and juxtapose it against Proterozoic basement. Equivalent sttike-slip faults in the southern Prince Charles Mountains produce dextrally offset tectonic boundaries and metamorphic isogrades across the Lambert Glacier. The similarity in orientation between the palaeostress field calculated for these faults and the Cretaceous divergence vector between India and Antarctica strongly supports the inference that faulting was of Cretaceous age, and related to the break-up of Gondwana. (C) 2003 Elsevier Science B.V. All rights reserved.</t>
  </si>
  <si>
    <t>Univ Melbourne, Sch Earth Sci, Melbourne, Vic 3010, Australia</t>
  </si>
  <si>
    <t>University of Melbourne; Melbourne Bioinformatics</t>
  </si>
  <si>
    <t>Univ Melbourne, Sch Earth Sci, Melbourne, Vic 3010, Australia.</t>
  </si>
  <si>
    <t>sdboger@unimelb.edu.au</t>
  </si>
  <si>
    <t>Boger, Steven/B-8799-2013</t>
  </si>
  <si>
    <t>Boger, Steven/0000-0003-0739-6266</t>
  </si>
  <si>
    <t>JUN 12</t>
  </si>
  <si>
    <t>10.1016/S0040-1951(03)00125-2</t>
  </si>
  <si>
    <t>693VA</t>
  </si>
  <si>
    <t>WOS:000183738000002</t>
  </si>
  <si>
    <t>Reeves, CE</t>
  </si>
  <si>
    <t>Atmospheric budget implications of the temporal and spatial trends in methyl bromide concentration</t>
  </si>
  <si>
    <t>methyl bromide; atmospheric budget; long-term trends; natural and anthropogenic sources; atmospheric lifetime</t>
  </si>
  <si>
    <t>GLOBAL TROPOSPHERIC MODEL; NORTH-ATLANTIC OCEAN; POLAR FIRN AIR; PACIFIC-OCEAN; BIOLOGICAL PRODUCTION; MARINE-PHYTOPLANKTON; LEADED GASOLINE; HIGHER-PLANTS; EMISSIONS; CHLORIDE</t>
  </si>
  <si>
    <t>[1] Methyl bromide (CH3Br) is an important ozone-depleting gas for which 20th century trends of the atmospheric concentration have recently been derived from air trapped in Antarctic firn. In this paper, a two-dimensional (2-D) global model, with a coupled atmosphere and ocean, is used to examine this historical trend, analyzing its implication for the various source strengths and the lifetime of CH3Br. The results illustrate that not only is the current understanding of the present-day atmospheric budget of CH3Br incomplete but so too is our understanding of the budget of CH3Br prior to major industrial emissions and anthropogenic changes to it. This difference cannot be explained by the overall error in the model results as determined from the uncertainties in the major source and sink terms. Either the estimate of the sink strength is too large or there is an underestimate of a known nonindustrial'' source or an unaccounted nonindustrial'' source, or some combination of these. Further, the results imply that the increase in the anthropogenically influenced'' sources during the 20th century is underestimated or that the sink strength is too strong. Since this applies to both before and after 1950, this suggests that the increase in nonfumigant sources and possibly fumigant sources is underestimated, assuming the sinks not to be overestimated. A longer lifetime has the effect of not only increasing the absolute concentrations but also increasing the rate of growth in concentrations and thus improving the agreement with the firn data. The sensitivity of the results to the uncertainties in the individual source and sink terms is assessed. The budget is also examined in terms of the properties of an artificial source necessary to provide balance. Other data sets of observed CH3Br concentration are also used to evaluate the modeled source and sink scenarios in terms of seasonal and latitudinal variations.</t>
  </si>
  <si>
    <t>Reeves, CE (corresponding author), Univ E Anglia, Sch Environm Sci, Norwich NR4 7TJ, Norfolk, England.</t>
  </si>
  <si>
    <t>c.reeves@uea.ac.uk</t>
  </si>
  <si>
    <t>JUN 11</t>
  </si>
  <si>
    <t>D11</t>
  </si>
  <si>
    <t>10.1029/2002JD002943</t>
  </si>
  <si>
    <t>691VY</t>
  </si>
  <si>
    <t>WOS:000183627700001</t>
  </si>
  <si>
    <t>Sinnhuber, BM; Weber, M; Amankwah, A; Burrows, JP</t>
  </si>
  <si>
    <t>Total ozone during the unusual Antarctic winter of 2002</t>
  </si>
  <si>
    <t>MODEL; STRATOSPHERE; SIMULATIONS; CHEMISTRY; TRANSPORT; FLUX</t>
  </si>
  <si>
    <t>[1] A major stratospheric warming was observed in the southern hemisphere during September 2002 for the first time. Total ozone observations from the Global Ozone Monitoring Experiment (GOME) show the ozone hole dividing into two parts in late September, followed by a reestablishment of the pole centered ozone hole (defined as the area of total ozone below 220 DU) in October. The ozone observations are well reproduced by a chemical transport model (CTM) driven by analyzed wind fields and temperatures. Antarctic total ozone was significantly higher during winter and spring 2002 than during previous years. GOME showed October averages for the area south of 63degreesS of 291 DU for 2002, compared to between 204 and 248 DU for the years 1995-2001. Comparison with the CTM indicates that the unusually high ozone columns are largely a result of increased transport during the winter 2002. The estimated chemical loss of total ozone of about 80 DU south of 60degreesS is comparable to that of previous winters. We conclude that the increased total ozone during this winter must not be considered as a sign of ozone recovery but is just a consequence of an unusual meteorological situation during the winter of 2002.</t>
  </si>
  <si>
    <t>Univ Bremen, Inst Environm Phys, D-28334 Bremen, Germany</t>
  </si>
  <si>
    <t>Univ Bremen, Inst Environm Phys, POB 330440, D-28334 Bremen, Germany.</t>
  </si>
  <si>
    <t>bms@iup.physik.uni-bremen.de; weber@uni-bremen.de</t>
  </si>
  <si>
    <t>Burrows, John Philip/AAF-8468-2019; Sinnhuber, Bjorn-Martin/A-7007-2013; Weber, Mark/F-1409-2011</t>
  </si>
  <si>
    <t>Burrows, John Philip/0000-0002-6821-5580; Sinnhuber, Bjorn-Martin/0000-0001-9608-7320; Weber, Mark/0000-0001-8217-5450</t>
  </si>
  <si>
    <t>JUN 10</t>
  </si>
  <si>
    <t>10.1029/2002GL016798</t>
  </si>
  <si>
    <t>691UX</t>
  </si>
  <si>
    <t>WOS:000183625200002</t>
  </si>
  <si>
    <t>Weber, M; Dhomse, S; Wittrock, F; Richter, A; Sinnhuber, BM; Burrows, JP</t>
  </si>
  <si>
    <t>Dynamical control of NH and SH winter/spring total ozone from GOME observations in 1995-2002</t>
  </si>
  <si>
    <t>MONITORING EXPERIMENT GOME; STRATOSPHERIC OZONE; ATMOSPHERIC CHEMISTRY; DOWNWARD CONTROL; GREENHOUSE-GAS; WAVE ACTIVITY; CIRCULATION; DEPLETION; WINTERS; CLIMATE</t>
  </si>
  <si>
    <t>[1] The abnormal high wave activity in austral spring 2002 led to the first observation of a major stratospheric warming in the southern hemisphere resulting in a net winter increase of mid- to high latitude total ozone until September 2002. In previous years chemical ozone depletion inside the Antarctic vortex was sufficiently high to reduce mean total ozone south of 50degrees in September to values slightly below that of March (fall) as observed by GOME during the period 1995-2001. This unusual event permits us to examine the interannual variability in total ozone and OClO (the latter being an indicator of the level of chlorine activation inside the polar vortex) as measured by GOME combining data from the southern and northern hemisphere. It is shown that the absolute winter eddy heat flux between 43degrees and 70degrees latitudes at 100 hPa correlates extremely well (r = 0.97) with spring-to-fall ratio of total ozone polewards of 50degrees and anti-correlates with the winter integrated maximum OClO column amounts (r = -0.94) using this combined data set. The unusual ozone ratio for austral winter/spring 2002 lies almost midway between typical values for Antarctica and those for recent cold Arctic winter/spring seasons.</t>
  </si>
  <si>
    <t>Weber, M (corresponding author), Univ Bremen, Inst Environm Phys, FB1,POB 330 440, D-28334 Bremen, Germany.</t>
  </si>
  <si>
    <t>Dhomse, Sandip/C-8198-2011; Burrows, John Philip/AAF-8468-2019; Wittrock, Folkard/B-6959-2008; Sinnhuber, Bjorn-Martin/A-7007-2013; Richter, Andreas/C-4971-2008; Weber, Mark/F-1409-2011</t>
  </si>
  <si>
    <t>Dhomse, Sandip/0000-0003-3854-5383; Burrows, John Philip/0000-0002-6821-5580; Wittrock, Folkard/0000-0002-3024-0211; Sinnhuber, Bjorn-Martin/0000-0001-9608-7320; Richter, Andreas/0000-0003-3339-212X; Weber, Mark/0000-0001-8217-5450</t>
  </si>
  <si>
    <t>10.1029/2002GL016799</t>
  </si>
  <si>
    <t>WOS:000183625200003</t>
  </si>
  <si>
    <t>Vyas, NK; Dash, MK; Bhandari, SM; Khare, N; Mitra, A; Pandey, PC</t>
  </si>
  <si>
    <t>On the secular trends in sea ice extent over the antarctic region based on OCEANSAT-1 MSMR observations</t>
  </si>
  <si>
    <t>Space-based passive microwave radiometers have been used to monitor southern ocean sea ice characteristics over the Antarctic region for the last 25 years. Decade-long observations from SMMR onboard Nimbus-7 during 1978-1987 indicated significant long-term trends in sea ice cover over different regions of the southern polar ocean, in addition to the strong seasonal and interannual variability in various sea ice characteristics. In the post-SMMR era, passive microwave monitoring of the polar region has continued with the availability of SSM/I onboard DMSP series of satellites. With the launch of MSMR onboard India's OCEANSAT-1 in May 1999, an independent set of multi channel passive microwave observations of the Antarctic and Arctic sea ice have become available. In this paper, we present the analysis of the first two years of MSMR observed brightness temperatures to infer sea ice extent over the Antarctic region. The analysis brings out the characteristic seasonal variability of sea ice extents over different sectors of the Southern Polar Ocean. The annual average sea ice extent values esimated from MSMR for 1999-2001 for important regions, e.g. the Weddell Sea and Ross Sea sectors, are found to be significantly different compared to the average values observed through SMMR. The MSMR estimates suggest a continuation of the secular trends observed during the SMMR period. The trend in the sea ice extent over the Antarctic region as a whole was observed to be slightly positive (0.043 million km(2) per year). The MSMR estimates of the sea ice extent over the entire Southern Ocean region, of 12.634 million km(2) during 1999-2001, support the continuation of the secular increase observed during the SMMR as well as SSM/I periods. The observed increasing trend in sea ice extent derived from SMMR and MSMR data is discussed along with some more recent estimates derived from SSM/I measurements, with possible indications of an acceleration in time. In the current greenhouse induced global warming scenario, with amplified warming over the polar region, this represents an intriguing result requiring continued investigations.</t>
  </si>
  <si>
    <t>Ctr Space Applicat, Ahmedabad 380015, Gujarat, India; Natl Ctr Antarctic &amp; Ocean Res, Panaji 403804, Goa, India</t>
  </si>
  <si>
    <t>Department of Space (DoS), Government of India; Indian Space Research Organisation (ISRO); Space Applications Centre (SAC); Ministry of Earth Sciences (MoES) - India; National Centre for Polar and Ocean Research (NCPOR)</t>
  </si>
  <si>
    <t>Vyas, NK (corresponding author), Ctr Space Applicat, Ahmedabad 380015, Gujarat, India.</t>
  </si>
  <si>
    <t>10.1080/01431160210154975</t>
  </si>
  <si>
    <t>676MP</t>
  </si>
  <si>
    <t>WOS:000182756100006</t>
  </si>
  <si>
    <t>Mahon, AR; Amsler, CD; McClintock, JB; Amsler, MO; Baker, BJ</t>
  </si>
  <si>
    <t>Tissue-specific palatability and chemical defenses against macropredators and pathogens in the common articulate brachiopod Liothyrella uva from the Antarctic Peninsula</t>
  </si>
  <si>
    <t>Antarctica; brachiopods; chemical defenses; Liothyrella uva; Optimal Defense Theory; predation</t>
  </si>
  <si>
    <t>PREDATORY REEF FISH; CARIBBEAN SPONGES; SECONDARY METABOLITES; INVERTEBRATE PREDATORS; STRUCTURAL DEFENSES; SEA; BIODIVERSITY; HERBIVORES; JACKSON; ECOLOGY</t>
  </si>
  <si>
    <t>The punctate terebratulid brachiopod Liothyrella uva is the most common brachiopod species in Antarctica. Whole brachiopods, either live or freeze dried and ground into a powder and suspended in alginate, were unpalatable to the sympatric macropredators Odontaster validus (an abundant, omnivorous sea star) and Notothenia coriiceps (an abundant, omnivorous, epibenthic fish). The unpalatability of these ground tissues coupled with that of lipophilic extracts of whole L. uva presented in alginate pellets to O. validus, suggests an involvement of chemical defenses. Several isolated brachiopod tissues were also unpalatable to O. validus after being freeze dried, ground and suspended in alginate, but only the pedicle was unpalatable in such preparations to both O. validus and N. coriiceps. This observation is consistent with the Optimal Defense Theory since the pedicle is the only tissue not protected inside the brachiopod shell. There was, however, no correlation between the energetic content and unpalatability of any of the individual tissues. Organic extracts of tissues involved in feeding (lophophore and intestine-stomach) had relatively strong antimicrobial activity when assayed against several strains of Antarctic bacteria. However, the lophophore was palatable to both macropredators, suggesting nonoverlapping chemical defenses are involved in protection against predators and pathogens. (C) 2003 Elsevier Science B.V. All rights reserved.</t>
  </si>
  <si>
    <t>amsler@uab.edu</t>
  </si>
  <si>
    <t>BERENGUER, Christophe/E-4000-2017; Baker, Bill/N-4312-2019; Fouladirad, Mitra/ABC-3081-2021</t>
  </si>
  <si>
    <t>Fouladirad, Mitra/0000-0002-0482-5347; Amsler, Charles/0000-0002-4843-3759; Mahon, Andrew/0000-0002-5074-8725</t>
  </si>
  <si>
    <t>10.1016/S0022-0981(03)00075-3</t>
  </si>
  <si>
    <t>679VZ</t>
  </si>
  <si>
    <t>WOS:000182943800004</t>
  </si>
  <si>
    <t>Wagner, T; Heland, J; Zöger, M; Platt, U</t>
  </si>
  <si>
    <t>A fast H2O total column density product from GOME -: Validation with in-situ aircraft measurements</t>
  </si>
  <si>
    <t>ATMOSPHERIC WATER-VAPOR; OPTICAL-ABSORPTION SPECTROSCOPY; TROPOSPHERIC NO2; RETRIEVAL; CHEMISTRY; HUMIDITY; DATABASE; OXYGEN</t>
  </si>
  <si>
    <t>Atmospheric water vapour is the most important greenhouse gas which is responsible for about 2/3 of the natural greenhouse effect, therefore changes in atmospheric water vapour in a changing climate (the water vapour feedback) is subject to intense debate. H2O is also involved in many important reaction cycles of atmospheric chemistry, e. g. in the production of the OH radical. Thus, long time series of global H2O data are highly required. Since 1995 the Global Ozone Monitoring Experiment (GOME) continuously observes atmospheric trace gases. In particular it has been demonstrated that GOME as a nadir looking UV/vis-instrument is sensitive to many tropospheric trace gases. Here we present a new, fast H2O algorithm for the retrieval of vertical column densities from GOME measurements. In contrast to existing H2O retrieval algorithms it does not depend on additional information like e. g. the climatic zone, aerosol content or ground albedo. It includes an internal cloud-, aerosol-, and albedo correction which is based on simultaneous observations of the oxygen dimer O-4. From sensitivity studies using atmospheric radiative modelling we conclude that our H2O retrieval overestimates the true atmospheric H2O vertical column density (VCD) by about 4% for clear sky observations in the tropics and sub-tropics, while it can lead to an underestimation of up to -18% in polar regions. For measurements over (partly) cloud covered ground pixels, however, the true atmospheric H2O VCD might be in general systematically underestimated. We compared the GOME H2O VCDs to ECMWF model data over one whole GOME orbit (extending from the Arctic to the Antarctic) including also totally cloud covered measurements. The correlation of the GOME observations and the model data yield the following results: a slope of 0.96 (r(2) = 0.86) and an average bias of 5%. Even for measurements with large cloud fractions between 50% and 100% an average underestimation of only -18% was found. This high accuracy of our GOME H2O data is also confirmed by the excellent agreement with in-situ aircraft measurements during the MINOS campaign in Greece in summer 2001 (slope of 0.97 (r(2) = 0.86), and an average bias of only 0.2%). Our H2O algorithm can be directly adapted to the nadir observations of SCIAMACHY (SCanning Imaging Absorption SpectroMeter for Atmospheric CHartographY) which was launched on ENVISAT in March 2002. Near real time H2O column data from GOME and SCIAMACHY might be of great value for meteorological weather forecast.</t>
  </si>
  <si>
    <t>Heidelberg Univ, Inst Umweltphys, D-6900 Heidelberg, Germany; Deutsch Zentrum Luft &amp; Raumfahrt DLR, Inst Phys Atmosphare, Oberpfaffenhofen, Germany; Deutsch Zentrum Luft &amp; Raumfahrt DLR, Flugabt, Oberpfaffenhofen, Germany</t>
  </si>
  <si>
    <t>Ruprecht Karls University Heidelberg; Helmholtz Association; German Aerospace Centre (DLR); Helmholtz Association; German Aerospace Centre (DLR)</t>
  </si>
  <si>
    <t>Heidelberg Univ, Inst Umweltphys, D-6900 Heidelberg, Germany.</t>
  </si>
  <si>
    <t>Thomas.Wagner@iup.uni-heidelberg.de</t>
  </si>
  <si>
    <t>COPERNICUS GESELLSCHAFT MBH</t>
  </si>
  <si>
    <t>GOTTINGEN</t>
  </si>
  <si>
    <t>BAHNHOFSALLEE 1E, GOTTINGEN, 37081, GERMANY</t>
  </si>
  <si>
    <t>1680-7316</t>
  </si>
  <si>
    <t>JUN 5</t>
  </si>
  <si>
    <t>10.5194/acp-3-651-2003</t>
  </si>
  <si>
    <t>688VB</t>
  </si>
  <si>
    <t>gold, Green Submitted</t>
  </si>
  <si>
    <t>WOS:000183456700005</t>
  </si>
  <si>
    <t>Jezek, KC; Farness, K; Carande, R; Wu, X; Labelle-Hamer, N</t>
  </si>
  <si>
    <t>RADARSAT 1 synthetic aperture radar observations of Antarctica: Modified Antarctic Mapping Mission, 2000</t>
  </si>
  <si>
    <t>RADIO SCIENCE</t>
  </si>
  <si>
    <t>[1] The RADARSAT 1 Antarctic Mapping Project (RAMP) is a collaboration between NASA and the Canadian Space Agency to map Antarctica using synthetic aperture radar (SAR). RAMP comprises two distinct mapping missions. The first Antarctic Mapping Mission was successfully completed in October 1997. Data from the acquisition phase of the 1997 campaign have been used to achieve the primary goal of producing the first high-resolution SAR image map of the entire Antarctic continent. The Modified Antarctic Mapping Mission (MAMM) occurred during the fall of 2000. The acquisition strategy concentrated on collecting highest-resolution RADARSAT 1 data of Antarctica's fast glaciers for change detection, feature tracking estimates of surface velocity, and interferometric analysis of velocity and coherence over the entire viewable region, which extends north of 80.1degreesS latitude. This paper reviews the MAMM project and describes the techniques to be used in processing the data. An example of data acquired over the Drygalski ice tongue, Antarctica illustrates how MAMM data will further benefit investigations of the icy continent.</t>
  </si>
  <si>
    <t>Ohio State Univ, Byrd Polar Res Ctr, Columbus, OH 43210 USA; Vexcel Corp, Boulder, CO 80301 USA; Univ Alaska, Alaska Synth Aperture Radar Facil, Fairbanks, AK 99775 USA</t>
  </si>
  <si>
    <t>University System of Ohio; Ohio State University; University of Alaska System; University of Alaska Fairbanks</t>
  </si>
  <si>
    <t>Ohio State Univ, Byrd Polar Res Ctr, 108 Scott Hall,1090 Carmack Rd, Columbus, OH 43210 USA.</t>
  </si>
  <si>
    <t>jezek.1@osu.edu; kfn@frosty.mps.ohio-state.edu; carande@vexcel.com; wu@vexcel.com; nettie@mail1.asf.alaska.edu</t>
  </si>
  <si>
    <t>0048-6604</t>
  </si>
  <si>
    <t>1944-799X</t>
  </si>
  <si>
    <t>RADIO SCI</t>
  </si>
  <si>
    <t>Radio Sci.</t>
  </si>
  <si>
    <t>10.1029/2002RS002643</t>
  </si>
  <si>
    <t>Astronomy &amp; Astrophysics; Geochemistry &amp; Geophysics; Meteorology &amp; Atmospheric Sciences; Remote Sensing; Telecommunications</t>
  </si>
  <si>
    <t>690PV</t>
  </si>
  <si>
    <t>WOS:000183558200001</t>
  </si>
  <si>
    <t>Shetter, RE; Junkermann, W; Swartz, WH; Frost, GJ; Crawford, JH; Lefer, BL; Barrick, JD; Hall, SR; Hofzumahaus, A; Bais, A; Calvert, JG; Cantrell, CA; Madronich, S; Müller, M; Kraus, A; Monks, PS; Edwards, GD; McKenzie, R; Johnston, P; Schmitt, R; Griffioen, E; Krol, M; Kylling, A; Dickerson, RR; Lloyd, SA; Martin, T; Gardiner, B; Mayer, B; Pfister, G; Röth, EP; Koepke, P; Ruggaber, A; Schwander, H; van Weele, M</t>
  </si>
  <si>
    <t>Photolysis frequency of NO2:: Measurement and modeling during the International Photolysis Frequency Measurement and Modeling Intercomparison (IPMMI) -: art. no. 8544</t>
  </si>
  <si>
    <t>photolysis; NO2 (nitrogen dioxide); radiative transfer; intercomparison</t>
  </si>
  <si>
    <t>ACTINIC FLUX SPECTRORADIOMETRY; ABSORPTION CROSS-SECTIONS; OBSERVATORY PHOTOCHEMISTRY EXPERIMENT; RATE COEFFICIENT; ATLANTIC-OCEAN; TEMPERATURE; ATMOSPHERE; PHOTODISSOCIATION; RADIATION; OZONE</t>
  </si>
  <si>
    <t>[1] The photolysis frequency of NO2, j(NO2), was determined by various instrumental techniques and calculated using a number of radiative transfer models for 4 days in June 1998 at the International Photolysis Frequency Measurement and Modeling Intercomparison (IPMMI) in Boulder, Colorado. Experimental techniques included filter radiometry, spectroradiometry, and chemical actinometry. Eight research groups participated using 14 different instruments to determine j( NO2). The blind intercomparison experimental results were submitted to the independent experimental referee and have been compared. Also submitted to the modeling referee were the results of NO2 photolysis frequency calculations for the same time period made by 13 groups who used 15 different radiative transfer models. These model results have been compared with each other and also with the experimental results. The model calculation of clear-sky j(NO2) values can yield accurate results, but the accuracy depends heavily on the accuracy of the molecular parameters used in these calculations. The instrumental measurements of j(NO2) agree to within the uncertainty of the individual instruments and indicate the stated uncertainties in the instruments or the uncertainties of the molecular parameters may be overestimated. This agreement improves somewhat with the use of more recent NO2 cross-section data reported in the literature.</t>
  </si>
  <si>
    <t>Natl Ctr Atmospher Res, Div Atmospher Chem, Boulder, CO 80303 USA; Forschungszentrum Karlsruhe, Inst Meteorol &amp; Klimaforsch, D-82467 Garmisch Partenkirchen, Germany; Johns Hopkins Univ, Appl Phys Lab, Laurel, MD USA; Univ Colorado, Cooperat Inst Res Environm Sci, Boulder, CO 80303 USA; NASA, Langley Res Ctr, Hampton, VA 23681 USA; Forschungszentrum Julich, Geosphare Inst Troposphare 2, Inst Chem &amp; Dynam, D-52425 Julich, Germany; Aristotle Univ Thessaloniki, Lab Atmospher Phys, GR-54006 Thessaloniki, Greece; Univ Leicester, Leicester LE1 7RH, Leics, England; Natl Inst Water &amp; Atmospher Res, Lauder 50061, New Zealand; Meteorol Consult GmbH, D-61479 Glashutten, Germany; Meteorol Serv Canada, Toronto, ON M3H 5T4, Canada; Inst Marine &amp; Atmospher Res, NL-3508 TA Utrecht, Netherlands; Norwegian Inst Air Res, N-2027 Kjeller, Norway; Univ Maryland, Dept Meteorol, College Pk, MD 20742 USA; Karl Franzens Univ Graz, Inst Geophys Astrophys &amp; Meteorol, Graz, Austria; British Antarctic Survey, Cambridge CB3 0ET, England; Forschungszentrum Julich, Geosphare Inst Stratosphare 1, Inst Chem &amp; Dynam, D-52425 Julich, Germany; Univ Munich, Inst Meteorol, D-80333 Munich, Germany; Royal Netherlands Meteorol Inst, NL-3730 AE De Bilt, Netherlands</t>
  </si>
  <si>
    <t>National Center Atmospheric Research (NCAR) - USA; Helmholtz Association; Karlsruhe Institute of Technology; Johns Hopkins University; Johns Hopkins University Applied Physics Laboratory; University of Colorado System; University of Colorado Boulder; National Aeronautics &amp; Space Administration (NASA); NASA Langley Research Center; Helmholtz Association; Research Center Julich; Aristotle University of Thessaloniki; University of Leicester; National Institute of Water &amp; Atmospheric Research (NIWA) - New Zealand; Environment &amp; Climate Change Canada; Meteorological Service of Canada; Utrecht University; NILU; University System of Maryland; University of Maryland College Park; University of Graz; UK Research &amp; Innovation (UKRI); Natural Environment Research Council (NERC); NERC British Antarctic Survey; Helmholtz Association; Research Center Julich; University of Munich; Royal Netherlands Meteorological Institute</t>
  </si>
  <si>
    <t>Natl Ctr Atmospher Res, Div Atmospher Chem, Boulder, CO 80303 USA.</t>
  </si>
  <si>
    <t>junkermann@ifu.fhg.de; bill.swartz@jhuapl.edu; gfrost@al.noaa.gov; j.h.crawford@larc.nasa.gov; pfister@ucar.edu; halls@ucar.edu; sasha@acd.ucar.edu; abais@auth.gr; calvert@acd.ucar.edu; cantrell@ncar.ucar.edu; p.s.monks@le.ac.uk; r.mckenzie@niwa.co.nz; paul.c.johnston@asu.edu; erik@nimbus.yorku.ca; M.Krol@phys.uu.nl; arve.kylling@nilu.no; russ@atmos.umd.edu; Steven.Lloyd@jhuap1.edu; timothy.martin@gmx.de; brian.gardiner@bas.ac.uk; bernhard.mayer@dlr.de; pfister@ucar.edu; ggp@bimgs5.kfunigraz.ac.at; ruggaber@lrz.uni-muenchen.de; weelevm@knmi.nl</t>
  </si>
  <si>
    <t>Bais, Alkiviadis F/D-2230-2009; Hall, Samuel/AAG-9516-2020; Lefer, Barry/X-9091-2019; Dickerson, Russell/ABB-1512-2020; Cantrell, Christopher/AAC-4648-2019; Pfister, Gabriele/A-9349-2008; Madronich, Sasha/D-3284-2015; Krol, Maarten/B-3597-2010; Lefer, Barry L/B-5417-2012; Frost, Gregory J/I-1958-2013; Kylling, Arve/B-1137-2017; Hofzumahaus, Andreas/I-9420-2012; Swartz, William H/A-1965-2010; Junkermann, Wolfgang/A-7416-2013; Monks, Paul/H-6468-2016; Krol, Maarten/E-3414-2013; Crawford, James/L-6632-2013; Mayer, Bernhard/B-3397-2011</t>
  </si>
  <si>
    <t>Bais, Alkiviadis F/0000-0003-3899-2001; Hall, Samuel/0000-0002-2060-7112; Lefer, Barry/0000-0001-9520-5495; Dickerson, Russell/0000-0003-0206-3083; Madronich, Sasha/0000-0003-0983-1313; Lefer, Barry L/0000-0001-9520-5495; Hofzumahaus, Andreas/0000-0003-2876-0880; Swartz, William H/0000-0002-9172-7189; Monks, Paul/0000-0001-9984-4390; Krol, Maarten/0000-0002-3506-2477; Crawford, James/0000-0002-6982-0934; Mayer, Bernhard/0000-0002-3358-0190</t>
  </si>
  <si>
    <t>JUN 3</t>
  </si>
  <si>
    <t>10.1029/2002JD002932</t>
  </si>
  <si>
    <t>690NQ</t>
  </si>
  <si>
    <t>WOS:000183555600001</t>
  </si>
  <si>
    <t>Streeter, TC; King, RF; Raymond, B</t>
  </si>
  <si>
    <t>Organic nitrogen in soil water from grassland under different land management strategies in the United Kingdom - a neglected N load to upland lakes?</t>
  </si>
  <si>
    <t>AGRICULTURE ECOSYSTEMS &amp; ENVIRONMENT</t>
  </si>
  <si>
    <t>DOC; DON; DOP; soil nutrients; water chemistry</t>
  </si>
  <si>
    <t>ECOSYSTEMS; PHYTOPLANKTON; AMERICA</t>
  </si>
  <si>
    <t>A preliminary investigation into the relationship between soil organic matter content, which is influenced by land management strategy, and the amount of dissolved organic nitrogen (DON) in the soil and lakes of agriculturally important catchments is presented. Soil and water samples from four catchments in upland areas of the United Kingdom (Wales and Cumbria) under different agricultural management strategies were analysed for total water-soluble carbon (C), N and phosphorus (P), as well as inorganic and organic C, N and P. Although no clear relationship was observed between soil organic matter content and DON in the soil or water, catchment location significantly influenced all nutrients measured. The amount of DON in the lakes was closely related to the amount in the soil, with over 60% of the N in both systems present in an organic form at all catchments. This finding emphasises the need to include the organic component in nutrient studies as it is the dominant form of soluble N in these oligotrophic ecosystems. Crown Copyright (C) 2003 Published by Elsevier Science B.V. All rights reserved.</t>
  </si>
  <si>
    <t>Australian Antarctic Div, Kingston, Tas 7050, Australia; Univ Lancaster, Inst Environm &amp; Nat Sci, Dept Biol Sci, Lancaster LA1 4YQ, England</t>
  </si>
  <si>
    <t>Australian Antarctic Division; Lancaster University</t>
  </si>
  <si>
    <t>Raymond, B (corresponding author), Australian Antarctic Div, Channel Highway, Kingston, Tas 7050, Australia.</t>
  </si>
  <si>
    <t>0167-8809</t>
  </si>
  <si>
    <t>AGR ECOSYST ENVIRON</t>
  </si>
  <si>
    <t>Agric. Ecosyst. Environ.</t>
  </si>
  <si>
    <t>JUN</t>
  </si>
  <si>
    <t>10.1016/S0167-8809(02)00227-X</t>
  </si>
  <si>
    <t>Agriculture, Multidisciplinary; Ecology; Environmental Sciences</t>
  </si>
  <si>
    <t>Agriculture; Environmental Sciences &amp; Ecology</t>
  </si>
  <si>
    <t>690XW</t>
  </si>
  <si>
    <t>WOS:000183576600015</t>
  </si>
  <si>
    <t>Vaughan, APM</t>
  </si>
  <si>
    <t>Galactic energy and its role in a changing Earth</t>
  </si>
  <si>
    <t>Vaughan, Alan PM/B-7829-2010</t>
  </si>
  <si>
    <t>10.1017/S0954102003001305</t>
  </si>
  <si>
    <t>692JM</t>
  </si>
  <si>
    <t>WOS:000183658000001</t>
  </si>
  <si>
    <t>Gibson, JAE; Andersen, DT</t>
  </si>
  <si>
    <t>Physical structure of epishelf lakes of the southern Bunger Hills, East Antarctica (vol 14, pg 253, 2002)</t>
  </si>
  <si>
    <t>Correction</t>
  </si>
  <si>
    <t>Andersen, Dale/0000-0001-8827-1259</t>
  </si>
  <si>
    <t>WOS:000183658000002</t>
  </si>
  <si>
    <t>Hegseth, EN; von Quillfeldt, CH</t>
  </si>
  <si>
    <t>Low phytoplankton biomass and ice algal blooms in the Weddell Sea during the ice-filled summer of 1997 (vol 14, pg 231, 2002)</t>
  </si>
  <si>
    <t>WOS:000183658000003</t>
  </si>
  <si>
    <t>Accornero, A; Manno, C; Esposito, F; Gambi, MC</t>
  </si>
  <si>
    <t>The vertical flux of particulate matter in the polynya of Terra Nova Bay. Part II. Biological components</t>
  </si>
  <si>
    <t>Antarctica; downward fluxes; faecal pellets; Limacina helicina; pteropods; Ross Sea</t>
  </si>
  <si>
    <t>ROSS SEA ANTARCTICA; WEDDELL SEA; SOUTHERN-OCEAN; MCMURDO SOUND; SEDIMENT TRAP; PHYTOPLANKTON BIOMASS; SEASONAL PATTERNS; ORGANIC-CARBON; FECAL PELLETS; WATER-COLUMN</t>
  </si>
  <si>
    <t>Downward fluxes of particulate matter were investigated in the polynya of Terra Nova Bay (western Ross Sea) from February 1995 to December 1997. The main biological components were siliceous phytoplankton (diatoms, silicoflagellates and parmales), abundant faecal pellets of several types and zooplankton (mainly shelled pteropods). Vertical fluxes of particles occurred mainly through diatoms and faecal pellets in the first and second part of the summer, respectively. The highest fluxes were recurrently observed in late summer, when faeces contributed up to 100% of organic carbon. Unusually high fluxes were recorded in winter 1995, when faecal pellets accounted for 84.6% of the organic carbon. Peak fluxes were always driven by the sinking of faecal pellets, that hence appear to be the most efficient vector of export in the polynya of Terra Nova Bay. A major flux component was the pteropod Limacina helicina, which repeatedly sank in high amounts after the growing season. In April-June, L. helicina probably transported biogenic carbon to deep layers as a passive sinker. The inclusion of pteropods in flux estimates resulted in values that were up to 20 (for total mass), 25 (for organic matter) and 48 (for carbonate) times higher than the previously measured fluxes. Fluxes are known to be biased by swimmers, but ultimately attention must be paid to a possible erroneous categorization of some zooplankton as swimmers to avoid severe underestimation of fluxes of total mass (up to 95% in our study), organic matter (up to 96%) and carbonate (up to 100%).</t>
  </si>
  <si>
    <t>Univ Parthenope, Ist Meteorol &amp; Oceanog, Naples, Italy; Staz Zool Anton Dohrn, Lab Ecol Benthos, Naples, Italy</t>
  </si>
  <si>
    <t>Parthenope University Naples; Stazione Zoologica Anton Dohrn di Napoli</t>
  </si>
  <si>
    <t>Univ Parthenope, Ist Meteorol &amp; Oceanog, Naples, Italy.</t>
  </si>
  <si>
    <t>accornero@uninav.it</t>
  </si>
  <si>
    <t>Gambi, Maria Cristina/AFO-0958-2022; Gambi, Maria Cristina/L-8246-2014</t>
  </si>
  <si>
    <t>Gambi, Maria Cristina/0000-0002-0168-776X</t>
  </si>
  <si>
    <t>10.1017/S0954102003001214</t>
  </si>
  <si>
    <t>WOS:000183658000004</t>
  </si>
  <si>
    <t>Elster, J; Komarek, O</t>
  </si>
  <si>
    <t>Ecology of periphyton in a meltwater stream ecosystem in the maritime Antarctic</t>
  </si>
  <si>
    <t>environmental parameters; King George Island; meltwater streams; periphyton productivity; South Shetland Islands</t>
  </si>
  <si>
    <t>KING-GEORGE ISLAND; FRESH-WATER STREAM; MCMURDO ICE SHELF; MICROBIAL COMMUNITIES; ALGAL COMMUNITY; SIGNY ISLAND; PHOTOSYNTHESIS; LAND; VARIABILITY; NITROGEN</t>
  </si>
  <si>
    <t>The ecology of two meltwater streams on King George Island, Ornithologists Creek (with penguin rookeries close to its lower reaches) and Petrified Forest Creek (a highly oligotrophic system), was studied during the 1996-97 summer season. To estimate seasonal productivity of the periphyton and to establish which environmental parameters influenced periphyton growth most strongly, two types of artificial substrata (fibreglass nets - ash-free dry weight (AFDW), and microscope slides - Chlorophyll a (Chl a)) were tested in situ. Thus relative periphyton productivity (RPP) reflects algal colonization and growth as well as losses due to cell mortality and abrasive action of moving sediments. The Petrified Forest Creek was more productive (AFDW = 108.63 mug cm(-1) d(-1), Chl a = 0.35 mug g cm(-2) d(-1)) than the Ornithologists Creek (AFDW = 69.90 mug cm(-2) d(-1), Chl a = 0.26 mug cm(-2) d(-1)). RPP differed both along the streams, and during the season. Significant positive or negative relationships (generalized linear models) were found between RPP and streamwater 'physico-chemical parameters' and 'geomorphological-geographical characteristics' of the streams' catchments. In addition, in the lower reaches of both streams almost no active colonization or growth was recorded. In the Petrified Forest Creek, the periphyton biomass was so high that mainly passive organic matter deposition occurred. By contrast, in the lower reach of Ornithologists Creek, periphyton colonization and growth was around zero, being negatively influenced by penguin excrement. Ornithologists Creek was richer in nutrients (DIN, DRP), which also fluctuated more widely along its length and throughout the season, than in the Petrified Forest Creek. Parameters associated with the inorganic carbon cycle of the streamwater reflect higher RPP in Petrified Forest Creek. Moreover, RPP was higher in stream reaches with higher amounts of gravel boulders on the bottom.</t>
  </si>
  <si>
    <t>Acad Sci Czech Republ, Inst Bot, CZ-37982 Trebon, Czech Republic; Univ S Bohemia, Fac Biol Sci, CZ-37801 Ceske Budejovice, Czech Republic; Masaryk Univ, Fac Sci, CZ-61136 Brno, Czech Republic</t>
  </si>
  <si>
    <t>Czech Academy of Sciences; Institute of Botany of the Czech Academy of Sciences; University of South Bohemia Ceske Budejovice; Czech Academy of Sciences; Masaryk University Brno</t>
  </si>
  <si>
    <t>Acad Sci Czech Republ, Inst Bot, Dukelska 135, CZ-37982 Trebon, Czech Republic.</t>
  </si>
  <si>
    <t>jelster@butbn.cas.cz</t>
  </si>
  <si>
    <t>Komárek, Ondřej/AAA-9707-2020; Komarek, Ondrej/J-9203-2014; Elster, Josef/B-1031-2008</t>
  </si>
  <si>
    <t>Komarek, Ondrej/0000-0002-3855-3335; Elster, Josef/0000-0002-4535-5636</t>
  </si>
  <si>
    <t>10.1017/S0954102003001226</t>
  </si>
  <si>
    <t>WOS:000183658000005</t>
  </si>
  <si>
    <t>Hullé, M; Pannetier, D; Simon, JC; Vernon, P; Frenot, Y</t>
  </si>
  <si>
    <t>Aphids of sub-Antarctic Iles Crozet and Kerguelen:: species diversity, host range and spatial distribution</t>
  </si>
  <si>
    <t>alien species; Hemiptera; parthenogenesis; phytophagous insects</t>
  </si>
  <si>
    <t>TERRESTRIAL ECOSYSTEM; ISLANDS; INVERTEBRATE; CHIRONOMIDAE; DIPTERA; ECOLOGY</t>
  </si>
  <si>
    <t>The native terrestrial food web of sub-Antarctic islands is dominated by decomposers with rare herbivores and almost no predators. As a consequence of increasing human activities, the number of alien plants and invertebrates species, including phytophagous species, has been dramatically rising on these islands. These repeated introductions seem likely to have a great impact on the ecosystem functioning. This is the first detailed study on species diversity, host range and spatial distribution of aphids on French sub-Antarctic islands. Six cosmopolitan and polyphagous aphid species have been recorded on these islands. Five species have been found in the wild where they colonized native and introduced plants, and one species was confined to a glasshouse. Aphids colonized a littoral band and were limited to below 200 in a.s.l. Their spatial distribution is constrained by host plant distribution and temperature. The two dominant species, Myzus ascalonicus and Rhopalosiphum padi, are obligately parthenogenetic in these islands and have been observed to be active on plants during winter. The other species are also presumably obligate parthenogens because of the absence of host plants where sexual reproduction can occur. We suggest that polyphagy and parthenogenesis are major biological traits that influence colonization success by aphids in a sub-Antarctic environment.</t>
  </si>
  <si>
    <t>INRA, UMR BiO3P, F-35653 Le Rheu, France; Univ Rennes 1, CNRS, UMR 6553 ECOBIO, Stn Biol Paimpont, F-35380 Paimpont, France</t>
  </si>
  <si>
    <t>INRAE; Centre National de la Recherche Scientifique (CNRS); CNRS - Institute of Ecology &amp; Environment (INEE); Universite de Rennes</t>
  </si>
  <si>
    <t>hulle@rennes.inra.fr</t>
  </si>
  <si>
    <t>Simon, Jean-Christophe/I-2700-2014; Vernon, Philippe/A-9019-2010</t>
  </si>
  <si>
    <t>Vernon, Philippe/0000-0002-6237-7511; Frenot, Yves/0000-0003-2666-1272; Hulle, Maurice/0000-0002-9520-3454</t>
  </si>
  <si>
    <t>10.1017/S0954102003001184</t>
  </si>
  <si>
    <t>WOS:000183658000006</t>
  </si>
  <si>
    <t>Lombarte, A; Olaso, I; Bozzano, A</t>
  </si>
  <si>
    <t>Ecomorphological trends in the Artedidraconidae (Pisces: Perciformes: Notothenioidei) of the Weddell Sea</t>
  </si>
  <si>
    <t>Antarctica; eye size; mental barbel; morphometry; sensory organs; trophic niche</t>
  </si>
  <si>
    <t>MENTAL BARBEL; FISH FAUNA; ROSS SEA; EVOLUTION; DIVERSIFICATION; PATTERNS; FORM; SIZE</t>
  </si>
  <si>
    <t>An ecomorphological study was performed on ten species of the family Artedidraconidae, the most benthic of the suborder Notothenioidei. These species are sympatric on the shelf of the Weddell Sea. The results show that the four genera comprising the family (Artedidraco, Dolloidraco, Histiodraco and Pogonophryne) can be differentiated by just a few morphometric features of their sensory organs and mouth. The genera were also clearly defined by the composition of their diet (benthic and epibenthic), the size of their prey, and their bathymetric distribution. Comparison of the morphological and ecological data shows a very close connection between sensory organs development, the mouth and bathymetric distribution. The morphological and ecological divergence observed can be explained as the result of the rapid adaptive radiation of the artedidraconids. The results confirm that characteristics of the sensory organs and alimentary structures are very suitable for the ecomorphological study of fishes.</t>
  </si>
  <si>
    <t>CSIC, Inst Ciencias Mar, CMIMA, E-08003 Barcelona, Catalonia, Spain; Inst Espanol Oceanog, Santander 39080, Spain</t>
  </si>
  <si>
    <t>Consejo Superior de Investigaciones Cientificas (CSIC); CSIC - Centro Mediterraneo de Investigaciones Marinas y Ambientales (CMIMA); CSIC - Instituto de Ciencias del Mar (ICM); Spanish Institute of Oceanography</t>
  </si>
  <si>
    <t>CSIC, Inst Ciencias Mar, CMIMA, Passeig Maritim 37-39, E-08003 Barcelona, Catalonia, Spain.</t>
  </si>
  <si>
    <t>toni@icm.csic.es</t>
  </si>
  <si>
    <t>Lombarte, Antoni/D-3142-2013</t>
  </si>
  <si>
    <t>Lombarte, Antoni/0000-0001-5215-4587</t>
  </si>
  <si>
    <t>10.1017/S0954102003001196</t>
  </si>
  <si>
    <t>WOS:000183658000007</t>
  </si>
  <si>
    <t>Parapar, J</t>
  </si>
  <si>
    <t>Two new species of Myriochele (Polychaeta: Owenildae) from the Bransfield Strait, Antarctica</t>
  </si>
  <si>
    <t>Annelida; Myriochele riojai n. sp.; Myriochele robusta n. sp.; South Shetland Islands</t>
  </si>
  <si>
    <t>SHELF SOUTH SHETLAND; OWENIIDAE; SEA</t>
  </si>
  <si>
    <t>Among the benthic lithological samples collected during the Spanish Antarctic survey GEBRAP 1996-97 in the Bransfield Strait, two new oweniid (Annelida, Polychaeta, Oweniidae) species were collected: Myriochele riojai n. sp. and Myriochele robusta n. sp. Myriochele riojai is closely related to M heeri Malmgren, 1867 but differs in body size, number and distribution of the notosetae and in the position of elongated abdominal body segments. Myriochele robusta differs from all known species of the genus owing to its possession of a biramous setiger between two uniramous setigers in the anterior (thoracic) body region. A key to oweniid species recorded in Antarctic waters is provided.</t>
  </si>
  <si>
    <t>Univ A Coruna, Fac Ciencias, Dept Biol Anim,Biol Vexetal &amp; Ecol, E-15071 La Coruna, Spain</t>
  </si>
  <si>
    <t>Universidade da Coruna</t>
  </si>
  <si>
    <t>Parapar, J (corresponding author), Univ A Coruna, Fac Ciencias, Dept Biol Anim,Biol Vexetal &amp; Ecol, Campus Zapateira, E-15071 La Coruna, Spain.</t>
  </si>
  <si>
    <t>Parapar, Julio/J-4150-2014</t>
  </si>
  <si>
    <t>Parapar, Julio/0000-0001-7585-6995</t>
  </si>
  <si>
    <t>10.1017/S0954102003001238</t>
  </si>
  <si>
    <t>WOS:000183658000008</t>
  </si>
  <si>
    <t>Sabbe, K; Verleyen, E; Hodgson, DA; Vanhoutte, K; Vyverman, W</t>
  </si>
  <si>
    <t>Benthic diatom flora of freshwater and saline lakes in the Larsemann Hills and Rauer Islands, East Antarctica</t>
  </si>
  <si>
    <t>Antarctica; biogeography; diversity; freshwater lake; taxonomy</t>
  </si>
  <si>
    <t>ICE-FREE; GENUS; BACILLARIOPHYTA; BIOGEOGRAPHY; DIVERSITY; ENDEMISM; ECOLOGY; ALGAE; DISPERSAL; NAVICULA</t>
  </si>
  <si>
    <t>A floristic and taxonomic survey was made of the diatom communities of sediments and microbial mats in 66 freshwater and saline lakes and pools in the Larsemann Hills, Rauer Islands and Bolingen Islands (continental eastern Antarctica). A total of 3 1 taxa were distinguished, 10 of which could not be identified to species (nine) or even generic (one) level, either because they have most probably not yet been described or because they belong to species complexes that are in need of revision. Four new combinations are proposed; three species are reported for the first time from continental Antarctica, while another three are confirmed for eastern Antarctica for the first time. Analysis of literature data on Antarctic lacustrine diatoms shows that taxonomic practice has a profound influence on the assessment of distribution patterns. Force-fitting of European and North American names to Antarctic taxa and erroneous identifications have contributed to an underestimation of endemism in the diatom flora of Antarctic inland waters. In addition, changing concepts on species boundaries during the last decade influence the interpretation of biogeographic patterns. The application of a more fine grained taxonomy will almost certainly reveal a higher degree of endemism in Antarctica, and especially continental Antarctica. The present case study shows that in the Larsemann Hills Antarctic endemics account for about 40% of all freshwater and brackish taxa, while the biogeographic distribution of about 26% is unknown, mainly due to their uncertain taxonomic identity. This contradicts the view that cosmopolitanism prevails in Antarctic diatoms.</t>
  </si>
  <si>
    <t>State Univ Ghent, Lab Protistol &amp; Aquat Ecol, Dept Biol, B-9000 Ghent, Belgium; British Antarctic Survey, NERC, Cambridge CB3 0ET, England</t>
  </si>
  <si>
    <t>Ghent University; UK Research &amp; Innovation (UKRI); Natural Environment Research Council (NERC); NERC British Antarctic Survey</t>
  </si>
  <si>
    <t>Sabbe, K (corresponding author), State Univ Ghent, Lab Protistol &amp; Aquat Ecol, Dept Biol, Krijgslaan 281,S8, B-9000 Ghent, Belgium.</t>
  </si>
  <si>
    <t>Dasseville, Renaat/B-3561-2010</t>
  </si>
  <si>
    <t>10.1017/S095410200300124X</t>
  </si>
  <si>
    <t>WOS:000183658000009</t>
  </si>
  <si>
    <t>Weimerskirch, H; Inchausti, P; Guinet, C; Barbraud, C</t>
  </si>
  <si>
    <t>Trends in bird and seal populations as indicators of a system shift in the Southern Ocean</t>
  </si>
  <si>
    <t>Antarctic; global warming; seabirds; sea-ice; seals; sub-Antarctic</t>
  </si>
  <si>
    <t>LONG-TERM POPULATION; ALBATROSS DIOMEDEA-EXULANS; ICE EXTENT; APTENODYTES-PATAGONICA; CAMPBELL-ISLAND; ELEPHANT SEALS; CLIMATE-CHANGE; KERGUELEN; CROZET; DYNAMICS</t>
  </si>
  <si>
    <t>Although world oceans have been warming over the past 50 years, the impact on biotic components is poorly understood because of the difficulty of obtaining long-term datasets on marine organisms. The Southern Ocean plays a critical role in global climate and there is growing evidence of climate warming. We show that air temperatures measured by meteorological stations have steadily increased over the past 50 years in the southern Indian Ocean, the increase starting in mid 1960s and stabilizing in mid 1980s, being particularly important in the sub-Antarctic sector. At the same time, with a time lag of 2-9 years with temperatures, the population size of most seabirds and seals monitored on several breeding sites have decreased severely, whilst two species have increased at the same time. These changes, together with indications of a simultaneous decrease in secondary production in sub-Antarctic waters and the reduction of sea-ice extent further south, indicate that a major system shift has occurred in the Indian Ocean part of the Southern Ocean. This shift illustrates the high sensitivity of marine ecosystems, and especially upper trophic level predators, to climatic changes.</t>
  </si>
  <si>
    <t>CNRS, Ctr Etud Biol Chize, F-79360 Villiers En Bois, France; Ecole Normale Super, Ecol Lab, F-75005 Paris, France</t>
  </si>
  <si>
    <t>Centre National de la Recherche Scientifique (CNRS); Universite PSL; Ecole Normale Superieure (ENS)</t>
  </si>
  <si>
    <t>CNRS, Ctr Etud Biol Chize, F-79360 Villiers En Bois, France.</t>
  </si>
  <si>
    <t>henriw@cebc.cnrs.fr</t>
  </si>
  <si>
    <t>Weimerskirch, Henri/K-7306-2019; Weimerskirch, Henri/F-5562-2013; Barbraud, Christophe/A-5870-2012; Guinet, Christophe/AAR-8457-2020</t>
  </si>
  <si>
    <t>Weimerskirch, Henri/0000-0002-0457-586X; Barbraud, Christophe/0000-0003-0146-212X;</t>
  </si>
  <si>
    <t>10.1017/S0954102003001202</t>
  </si>
  <si>
    <t>WOS:000183658000010</t>
  </si>
  <si>
    <t>Southwell, C</t>
  </si>
  <si>
    <t>Haul-out behaviour of two Ross seals off eastern Antarctica</t>
  </si>
  <si>
    <t>CRAB-EATER SEALS; OMMATOPHOCA-ROSSII</t>
  </si>
  <si>
    <t>Australian Antarctic Div, Kingston, Tas 7050, Australia</t>
  </si>
  <si>
    <t>10.1017/S0954102003001251</t>
  </si>
  <si>
    <t>WOS:000183658000011</t>
  </si>
  <si>
    <t>Gore, DB; Snape, I; Leishman, MR</t>
  </si>
  <si>
    <t>Glacial sediment provenance, dispersal and deposition, Vestfold Hills, East Antarctica</t>
  </si>
  <si>
    <t>glacial transport; gneiss; landforms; sediment geochemistry</t>
  </si>
  <si>
    <t>LANDFORMS; EVOLUTION; BLOCK; TILL</t>
  </si>
  <si>
    <t>Field observations involving landform evaluation and the physical characterization of sediments, combined with a detailed analysis of the spatial distribution of bedrock and sediment geochemical patterns, suggests a limit to the glacial transport half-distance of c. 3 kin in Vestfold Hills. Four morphologically distinct glacial deposits were sampled (small debris ridges, large debris ridges, debris drapes and valley fills) on the basis of field geometry. These landforms were subsequently distinguished by grain size, mineralogy and geochemistry. Since there are no nunataks south of Vestfold Hills, all debris is derived subglacially and sedimentological differences are attributed to the physical weathering of preglacial surfaces in Vestfold Hills and fluvial winnowing during deposition. Given that thrust geometries may occur in large debris ridges, glacial transport distances were short, and fluvial sorting of sediments was an important mechanism, reconstructions of glacial histories based on the stratigraphy of deposits in Vestfold Hills should be made with caution.</t>
  </si>
  <si>
    <t>Macquarie Univ, Dept Phys Geog, N Ryde, NSW 2109, Australia; Antarctic Div, Human Impacts Program, Kingston, Tas 7050, Australia; Macquarie Univ, Dept Biol Sci, N Ryde, NSW 2109, Australia</t>
  </si>
  <si>
    <t>Macquarie University; Australian Antarctic Division; Macquarie University</t>
  </si>
  <si>
    <t>Macquarie Univ, Dept Phys Geog, N Ryde, NSW 2109, Australia.</t>
  </si>
  <si>
    <t>damian.gore@mq.edu.au</t>
  </si>
  <si>
    <t>Leishman, Michelle/AAU-4102-2020</t>
  </si>
  <si>
    <t>Leishman, Michelle/0000-0003-4830-5797; Gore, Damian/0000-0002-0377-8518</t>
  </si>
  <si>
    <t>10.1017/S0954102003001263</t>
  </si>
  <si>
    <t>WOS:000183658000012</t>
  </si>
  <si>
    <t>Jin, YK; Lee, MW; Kim, Y; Nam, SH; Kim, KJ</t>
  </si>
  <si>
    <t>Gas hydrate volume estimations on the South Shetland continental margin, Antarctic Peninsula</t>
  </si>
  <si>
    <t>baseline models; bottom simulating reflector; seismic data; unconformity; volume estimation</t>
  </si>
  <si>
    <t>ELASTIC PROPERTIES; MARINE-SEDIMENTS; PACIFIC MARGIN; VELOCITY; DEPTH; HORIZONS; SOUND</t>
  </si>
  <si>
    <t>Multi-channel seismic data acquired on the South Shetland margin, northern Antarctic Peninsula, show that Bottom Simulating Reflectors (BSRs) are widespread in the area, implying large volumes of gas hydrates. In order to estimate the volume of gas hydrate in the area, interval velocities were determined using a 1-D velocity inversion method and porosities were deduced from their relationship with sub-bottom depth for terrigenous sediments. Because data such as well logs are not available, we made two baseline models for the velocities and porosities of non-gas hydrate-bearing sediments in the area, considering the velocity jump observed at the shallow sub-bottom depth due to joint contributions of gas hydrate and a shallow unconformity. The difference between the results of the two models is not significant. The parameters used to estimate the total volume of gas hydrate in the study area were 145 kin of total length of BSRs identified on seismic profiles, 350 in thickness and 15 km width of gas hydrate-bearing sediments, and 6.3% of the average volume gas hydrate concentration (based on the second baseline model). Assuming that gas hydrates exist only where BSRs are observed, the total volume of gas hydrates along the seismic profiles in the area is about 4.8 x 10(10) m(3) (7.7 x 10(12) m(3) volume of methane at standard temperature and pressure).</t>
  </si>
  <si>
    <t>Korea Ocean Res &amp; Dev Inst, Seoul 425600, South Korea; US Geol Survey, Denver Fed Ctr, Denver, CO 80225 USA</t>
  </si>
  <si>
    <t>Korea Institute of Ocean Science &amp; Technology (KIOST); United States Department of the Interior; United States Geological Survey</t>
  </si>
  <si>
    <t>Jin, YK (corresponding author), Korea Ocean Res &amp; Dev Inst, Ansan,POB 29, Seoul 425600, South Korea.</t>
  </si>
  <si>
    <t>ykjin@kordi.re.kr</t>
  </si>
  <si>
    <t>Shim, JeongHee/0000-0003-0699-9145</t>
  </si>
  <si>
    <t>10.1017/S0954102003001275</t>
  </si>
  <si>
    <t>WOS:000183658000013</t>
  </si>
  <si>
    <t>Vuori, SK; Luttinen, AV</t>
  </si>
  <si>
    <t>The Jurassic gabbroic intrusions of Utpostane and Muren: Insights into Karoo-related plutonism in Dronning Maud Land, Antarctica</t>
  </si>
  <si>
    <t>geochemistry; Gondwana; Karoo magmatism; lithostratigraphy; petrography</t>
  </si>
  <si>
    <t>ICE-SOUNDING MEASUREMENTS; DUFEK INTRUSION; INSIZWA COMPLEX; IGNEOUS PROVINCE; FLOOD BASALTS; RIFTED MARGIN; MAGMATISM; GONDWANA; PETROGENESIS; TRANSKEI</t>
  </si>
  <si>
    <t>Middle Jurassic continental flood basalts of Vestfjella, western Dronning Maud Land are cut by gabbroic intrusions that represent rare exposures of Karoo-related mafic plutons in Antarctica. The gabbros and numerous associated dolerites indicate high magmatic activity along the continental margin of Dronning Maud Land during the break-up of Gondwana. The scattered nunataks of Utpostane (similar to25 km(2)) are dominated by olivine gabbronorite and olivine mela-gabbronorite, which can be grouped into four zones. The Utpostane intrusion exhibits inclined sheet-like geometry, is at least similar to3 km thick and shows moderate enrichment of incompatible element contents from its base towards the exposed roof contact (e.g. Zr from similar to15 to similar to60 ppm). High MgO contents (similar to8-3 6 wt%) indicate that the parental magma of Utpostane was more primitive than a typical Karoo tholeiite (MgO similar to6 wt%). At Muren, gabbroic outcrops record a cross section of a similar to1.3 km thick inclined sheet-like intrusion. The intrusion can be divided to two main units, the upper and lower zones, which are dominated by olivine gabbro and gabbronorite, respectively. Parental melts of the geochemically differentiated upper zone and the homogeneous lower zone of Muren were typical low-MgO Karoo tholeiites, but they were chemically distinct and were emplaced as separate magma pulses.</t>
  </si>
  <si>
    <t>Univ Helsinki, Dept Geol, FIN-00014 Helsinki, Finland</t>
  </si>
  <si>
    <t>University of Helsinki</t>
  </si>
  <si>
    <t>Vuori, SK (corresponding author), Univ Helsinki, Dept Geol, FIN-00014 Helsinki, Finland.</t>
  </si>
  <si>
    <t>Luttinen, Arto Vesa/0000-0002-3129-0392</t>
  </si>
  <si>
    <t>10.1017/S0954102003001287</t>
  </si>
  <si>
    <t>WOS:000183658000014</t>
  </si>
  <si>
    <t>Massom, RA</t>
  </si>
  <si>
    <t>Recent iceberg calving events in the Ninnis Glacier region, East Antarctica</t>
  </si>
  <si>
    <t>bathymetry; fast ice; grounding; iceberg B-9B; pack ice; polynya</t>
  </si>
  <si>
    <t>FILCHNER ICE SHELF; SEA-ICE; CIRCUMPOLAR CURRENT; WEDDELL-SEA; OCEAN; CIRCULATION; MERTZ; SEDIMENTATION; BEHAVIOR; BREAKUP</t>
  </si>
  <si>
    <t>This paper describes a major calving of the Ninnis Glacier tongue in January 2000. This event, which took 10 years to complete, produced a major change in the George V Land coastline and a large iceberg (similar to800 km(2)). By grounding or becoming locked in by fast ice, bergs produced locally and drifting in from afar reside for long periods (10-20 years) in the region similar to146 to 154degreesE to have a profound impact on sea ice distribution, both locally and 100s of kilometres up- and downstream. They are responsible for the formation of a lens of thick perennial ice to the east (similar to14 000 km(2) in area), and polynyas. Iceberg movement is sporadic, with intermittent ungroundings of large bergs occurring every 5-13 years. Escaping bergs have a temporary impact on the Mertz Glacier polynya to the west. Although public attention focuses on vast bergs, assemblages of small bergs appear to be equally important in terms of their impact on regional fast and pack ice distribution. Possible global change scenarios are discussed. The need for field observations and improved bathymetric and oceanographic data is emphasized.</t>
  </si>
  <si>
    <t>Univ Tasmania, Antarctic CRC, Hobart, Tas 7001, Australia</t>
  </si>
  <si>
    <t>Massom, RA (corresponding author), Univ Tasmania, Antarctic CRC, GPO Box 252-80, Hobart, Tas 7001, Australia.</t>
  </si>
  <si>
    <t>Massom, Robert/0000-0003-1533-5084</t>
  </si>
  <si>
    <t>10.1017/S0954102003001299</t>
  </si>
  <si>
    <t>WOS:000183658000015</t>
  </si>
  <si>
    <t>Purdy, KJ; Nedwell, DB; Embley, TM</t>
  </si>
  <si>
    <t>Analysis of the sulfate-reducing bacterial and methanogenic archaeal populations in contrasting Antarctic sediments</t>
  </si>
  <si>
    <t>16S RIBOSOMAL-RNA; TARGETED OLIGONUCLEOTIDE PROBES; COASTAL MARINE-SEDIMENTS; METHANE PRODUCTION; VERTICAL-DISTRIBUTION; ANOXIC SEDIMENT; SALT-MARSH; SP-NOV; HYBRIDIZATION PROBES; PROFUNDAL SEDIMENT</t>
  </si>
  <si>
    <t>The distribution and activity of communities of sulfate-reducing bacteria (SRB) and methanogenic archaea in two contrasting Antarctic sediments were investigated. Methanogenesis dominated in freshwater Lake Heywood, while sulfate reduction dominated in marine Shallow Bay. Slurry experiments indicated that 90% of the methanogenesis in Lake Heywood was acetoclastic. This finding was supported by the limited diversity of clones detected in a Lake Heywood archaeal clone library, in which most clones were closely related to the obligate acetate-utilizing Methanosaeta concilii. The Shallow Bay archaeal clone library contained clones related to the C(1)-utilizing Methanolobus and Methanococcoides and the H(2)-utilizing Methanogenium. Oligonucleotide probing of RNA extracted directly from sediment indicated that archaea represented 34% of the total prokaryotic signal in Lake Heywood and that Methanosaeta was a major component (13.2%) of this signal. Archaea represented only 0.2% of the total prokaryotic signal in RNA extracted from Shallow Bay sediments. In the Shallow Bay bacterial clone library, 10.3% of the clones were SRB-like, related to Desulfotalea/Desulforhopalus, Desulfofaba, Desulfosarcina, and Desulfobacter as well as to the sulfur and metal oxidizers comprising the Desulfuromonas cluster. Oligonucleotide probes for specific SRB clusters indicated that SRB represented 14.7% of the total prokaryotic signal, with Desulfotalea/Desulforhopalus being the dominant SRB group (10.7% of the total prokaryotic signal) in the Shallow Bay sediments; these results support previous results obtained for Arctic sediments. Methanosaeta and Desulfotalea/Desulforhopalus appear to be important in Lake Heywood and Shallow Bay, respectively, and may be globally important in permanently low-temperature sediments.</t>
  </si>
  <si>
    <t>Univ Essex, Dept Sci Biol, Colchester CO4 3SQ, Essex, England; Nat Hist Museum, Mol Biol Unit, Dept Zool, London SW7 5BD, England</t>
  </si>
  <si>
    <t>University of Essex; Natural History Museum London</t>
  </si>
  <si>
    <t>Purdy, KJ (corresponding author), Univ Reading, Sch Anim &amp; Microbial Sci, Reading RG6 6AJ, Berks, England.</t>
  </si>
  <si>
    <t>K.J.Purdy@Reading.ac.uk</t>
  </si>
  <si>
    <t>Purdy, Kevin/A-1900-2009</t>
  </si>
  <si>
    <t>Purdy, Kevin/0000-0002-2997-9342; Embley, Thomas Martin/0000-0002-1484-340X</t>
  </si>
  <si>
    <t>10.1128/AEM.69.6.3181-3191.2003</t>
  </si>
  <si>
    <t>752HZ</t>
  </si>
  <si>
    <t>WOS:000187156200020</t>
  </si>
  <si>
    <t>Turner, J; Harangozo, SA; King, JC; Connolley, WM; Lachlan-Cope, TA; Marshall, GJ</t>
  </si>
  <si>
    <t>An exceptional winter sea-ice retreat/advance in the Bellingshausen Sea, Antarctica</t>
  </si>
  <si>
    <t>ATMOSPHERE-OCEAN</t>
  </si>
  <si>
    <t>ATMOSPHERIC CIRCULATION; AMUNDSEN SEAS; SNOW COVER; PACK ICE; PENINSULA; VARIABILITY; EXCHANGE; OKHOTSK; MOTION; SECTOR</t>
  </si>
  <si>
    <t>The exceptional sea-ice retreat and advance that occurred in the Bellingshausen Sea, Antarctica during August 1993 was the largest such winter event in this sector of the Antarctic during the satellite era. The reasons for this fluctuation of ice are investigated using passive microwave satellite imagery, ice motion vectors derived from the satellite data, in-situ meteorological reports and near-surface winds and temperatures from the European Centre for Medium-range Weather Forecasts (ECMWF) numerical weather prediction model. The ice edge retreat of more than 400 km took place near 80degreesW from approximately 1-15 August, although the southward migration of the ice edge was not continuous and short periods of advance were also recorded. Between 16 August and 2 September there was almost continuous sea-ice recovery. The rate of change of the ice edge location during both the retreat and advance phases significantly exceeded the southward and northward velocity components of ice within the pack, pointing to the importance of ice production and melting during this event. During the month, markedly different air masses affected the area, resulting in temperature changes from +2degreesC to -21degreesC at the nearby Rothera station. 'Bulk' movement of the pack, and compaction and divergence of the sea ice, made a secondary, but still significant, contribution to the observed advance and retreat. The ice extent fluctuations were so extreme because strong meridional atmospheric flow was experienced in a sector of the Southern Ocean where relatively low ice concentrations were occurring. The very rapid ice retreat/advance was associated with pronounced low-high surface pressure anomaly couplets on either side of the Antarctic Peninsula.</t>
  </si>
  <si>
    <t>Turner, J (corresponding author), British Antarctic Survey, High Cross,Madingley Rd, Cambridge CB3 0ET, England.</t>
  </si>
  <si>
    <t>Turner, John/0000-0002-6111-5122</t>
  </si>
  <si>
    <t>CANADIAN METEOROLOGICAL OCEANOGRAPHIC SOC</t>
  </si>
  <si>
    <t>150 LOUIS PASTEUR PVT., STE 112, MCDONALD BUILDING, OTTAWA, ONTARIO K1N 6N5, CANADA</t>
  </si>
  <si>
    <t>0705-5900</t>
  </si>
  <si>
    <t>ATMOS OCEAN</t>
  </si>
  <si>
    <t>Atmos.-Ocean</t>
  </si>
  <si>
    <t>10.3137/ao.410205</t>
  </si>
  <si>
    <t>690KA</t>
  </si>
  <si>
    <t>WOS:000183546600005</t>
  </si>
  <si>
    <t>Stark, JS; Riddle, MJ; Simpson, RD</t>
  </si>
  <si>
    <t>Human impacts in soft-sediment assemblages at Casey Station, East Antarctica: Spatial variation, taxonomic resolution and data transformation</t>
  </si>
  <si>
    <t>AUSTRAL ECOLOGY</t>
  </si>
  <si>
    <t>disturbance; environmental impact; macrobenthic; monitoring; pollution; sampling design; variability</t>
  </si>
  <si>
    <t>MARINE BENTHIC COMMUNITIES; ENVIRONMENTAL IMPACTS; HEAVY-METALS; OIL-SPILL; POLLUTION; MACROBENTHOS; POPULATIONS; PATTERNS; BACI; CONTAMINATION</t>
  </si>
  <si>
    <t>Differences between marine soft-sediment assemblages at disturbed (two waste dumps, a sewage outfall and a wharf) and control locations were found at Casey Station, Antarctica. These differences were significant against considerable background spatial variability. Core samples were collected by divers using a hierarchical, spatially nested sampling design incorporating four scales: (i) locations (thousands of metres apart); (ii) sites (hundreds of metres apart); (iii) plots (tens of metres apart); and (iv) among replicates within plots (approximately 1 metre apart). Control locations had greater species richness and diversity than disturbed locations and there were many taxa found at control locations that were not recorded at disturbed locations. Assemblages at disturbed locations were less variable than those at control locations. In contrast, populations of some dominant species were more variable at disturbed locations than at control locations. Significant variation in populations of individual taxa was also found at all scales and although greatest at the level of location, variation was also large at the smallest scale, between replicate cores, indicating significant small-scale patchiness in populations of taxa. Patterns of assemblage structure were similar at fine (77 taxa) and medium (aggregated to 33 taxa) levels of taxonomic resolution, but changed at coarse levels of resolution (nine phyla). Soft-sediment assemblages at Casey Station are markedly different from those reported from other areas of Antarctica. Assemblages at Casey are almost completely dominated by crustaceans (up to 99% total abundance) and polychaetes are rare or in very low abundances in most areas investigated in the region. This is also the first demonstration that small Antarctic research stations (population 20-50 people) may cause impacts that are detectable in the adjacent marine environment.</t>
  </si>
  <si>
    <t>Australian Antarctic Div, Kingston, Tas 7050, Australia; Natl Marine Sci Ctr, Coffs Harbour, NSW, Australia</t>
  </si>
  <si>
    <t>Australian Antarctic Division; Southern Cross University</t>
  </si>
  <si>
    <t>Stark, JS (corresponding author), Australian Antarctic Div, Channel Highway, Kingston, Tas 7050, Australia.</t>
  </si>
  <si>
    <t>Ross, Donald J/F-7607-2012; Stark, Jonathan/ABF-4025-2020</t>
  </si>
  <si>
    <t>Stark, Jonathan/0000-0002-4268-8072</t>
  </si>
  <si>
    <t>BLACKWELL PUBLISHING ASIA</t>
  </si>
  <si>
    <t>CARLTON</t>
  </si>
  <si>
    <t>54 UNIVERSITY ST, P O BOX 378, CARLTON, VICTORIA 3053, AUSTRALIA</t>
  </si>
  <si>
    <t>1442-9985</t>
  </si>
  <si>
    <t>AUSTRAL ECOL</t>
  </si>
  <si>
    <t>Austral Ecol.</t>
  </si>
  <si>
    <t>10.1046/j.1442-9993.2003.01289.x</t>
  </si>
  <si>
    <t>694WJ</t>
  </si>
  <si>
    <t>WOS:000183797900007</t>
  </si>
  <si>
    <t>Waple, AM; Lawrimore, JH</t>
  </si>
  <si>
    <t>State of the climate in 2002</t>
  </si>
  <si>
    <t>BULLETIN OF THE AMERICAN METEOROLOGICAL SOCIETY</t>
  </si>
  <si>
    <t>NINO SOUTHERN-OSCILLATION; TROPICAL CYCLONE ACTIVITY; SURFACE AIR-TEMPERATURE; EL-NINO; INTERANNUAL VARIABILITY; SNOW DISAPPEARANCE; HURRICANE ACTIVITY; STORM ACTIVITY; ARCTIC TUNDRA; GROWTH-RATE</t>
  </si>
  <si>
    <t>Neutral ENSO conditions at the beginning of 2002 gave way to a strengthening El Nino episode during boreal summer. Weather patterns in many areas of the world reflected the warm phase conditions. The average global temperature in 2002 was 0.45degreesC above the 1961-1990 mean, which places 2002 as the second warmest year on record. Land temperatures were 0.78degreesC above average and ocean temperatures were 0.31degreesC above the 1961-1990 mean. This ranks both land and ocean as the second warmest on record. Annual temperature anomalies in excess of 1.0degreesC were widespread across much of Russia, Eastern Europe, Alaska, and central South America, while significantly cooler than average conditions were confined to the eastern half of Canada, southern South America; and the eastern Pacific Ocean,near the coast of the United States. Although 12 tropical storms developed in the Atlantic during the boreal summer of 2602, most of them were weak and short-lived, which resulted in a slightly below normal season in terms of overall activity. However, seven tropical storms made landfall in the United States, with an eighth brushing the coast of North Carolina. Hurricane, Lili was the first hurricane to make landfall in the United States in three years. Other notable aspects of the climate in 2002 include extreme drought in parts of the United States, Canada, and Australia; ongoing drought in portion's of Central America; near-record flooding in central Europe; drought in West Africa; a failure of the Indian summer monsoon; flooding in China; the warmest year on record for Alaska; and the smallest Antarctic ozone hole in the last decade.</t>
  </si>
  <si>
    <t>Camargo, Suzana J./C-6106-2009</t>
  </si>
  <si>
    <t>Camargo, Suzana J./0000-0002-0802-5160</t>
  </si>
  <si>
    <t>0003-0007</t>
  </si>
  <si>
    <t>1520-0477</t>
  </si>
  <si>
    <t>B AM METEOROL SOC</t>
  </si>
  <si>
    <t>Bull. Amer. Meteorol. Soc.</t>
  </si>
  <si>
    <t>S1</t>
  </si>
  <si>
    <t>S68</t>
  </si>
  <si>
    <t>10.1175/BAMS-84-6-Waple</t>
  </si>
  <si>
    <t>692DH</t>
  </si>
  <si>
    <t>WOS:000183645000013</t>
  </si>
  <si>
    <t>Liu, JH; Chen, LR; Wang, YX; Han, JX</t>
  </si>
  <si>
    <t>Nd isotope as the tracer of seawater evolution of early Miocene in the eastern Pacific Ocean</t>
  </si>
  <si>
    <t>Nd isotope; seawater evolution; eastern Pacific Ocean</t>
  </si>
  <si>
    <t>NEODYMIUM ISOTOPES</t>
  </si>
  <si>
    <t>Fifty-six samples of nannofossil ooze were collected from Core PC5794 in the northern equatorial Pacific at 5 em intervals. With the methods of mass spectrometer (VG354) and ICP, the Nd isotopic compositions (epsilon(Nd)(t)), Mn contents and Mg/Sr ratios of carbonate phase have been analyzed. CaCO3 contents of bulk sediments were obtained by dissolution of 0.5 mol/L HCl. Based on these data, the high-resolution epsilon(Nd)(t) profile of seawater in early Miocene with core depth(or time) have been established. The values of epsilon(Nd)(t) range from -6.2 to -2.97 and 4 fluctuation cycles existed during 24.06-22.02 Ma. 4 low epsilon(Nd)(t) values (about -6.4) correspond to high CaCO3 contents, which implicates that there were 4 cold epochs or 4 times of Antarctic Bottom Water activity. They occurred at the time of 24.06 Ma, 23.85 Ma, 22.88 Ma and 22.26 Ma, respectively. High epsilon(Nd)(t) values correspond to the high Mn contents and high values of Mg/Sr ratio, which indicates the existence of 4 intense hydrothermal activity periods during 24.06-22 Ma, the durations of them are 4.05-23.98 Ma, 23.69-23.15 Ma, 22.74-22.37 Ma and 22.06-22.02 Ma, respectively.</t>
  </si>
  <si>
    <t>Acad Sinica, Inst Oceanol, Qingdao 266071, Peoples R China; Guangzhou Marine Invest Bur, Guangzhou 510760, Peoples R China; Nanjing Univ, Modern Anal Ctr, Nanjing 210093, Peoples R China; Acad Sinica, Grad Sch, Beijing 100039, Peoples R China; State Ocean Adm, Inst Oceanog 1, Key Lab Marine Sedimentol &amp; Environm Geol, Qingdao 266061, Peoples R China</t>
  </si>
  <si>
    <t>Chinese Academy of Sciences; Institute of Oceanology, CAS; Nanjing University; Chinese Academy of Sciences; First Institute of Oceanography, Ministry of Natural Resources</t>
  </si>
  <si>
    <t>Acad Sinica, Inst Oceanol, Qingdao 266071, Peoples R China.</t>
  </si>
  <si>
    <t>jihliu@hotmail.com</t>
  </si>
  <si>
    <t>10.1007/BF02900948</t>
  </si>
  <si>
    <t>686RZ</t>
  </si>
  <si>
    <t>WOS:000183335900016</t>
  </si>
  <si>
    <t>Pucci, B; Coscia, MR; Oreste, U</t>
  </si>
  <si>
    <t>Characterization of serum immunoglobulin M of the Antarctic teleost Trematomus bernacchii</t>
  </si>
  <si>
    <t>COMPARATIVE BIOCHEMISTRY AND PHYSIOLOGY B-BIOCHEMISTRY &amp; MOLECULAR BIOLOGY</t>
  </si>
  <si>
    <t>immunoglobulin M; teleost; antarctica; cold adaptation; deglycosylation; ELISA; trypsinolysis; 2D electrophoresis; Trematomus</t>
  </si>
  <si>
    <t>HEAVY-CHAIN; MONOCLONAL-ANTIBODIES; CARBOHYDRATE MOIETY; LIGHT-CHAINS; IGM; GENES</t>
  </si>
  <si>
    <t>Trematomus bernacchii immunoglobulin M concentration was determined in the serum by ELISA; the mean concentration value was 2.7 mg/ml corresponding to 9.6% of the total serum proteins. Purified IgM was analyzed by SDS-polyacrylamide gel electrophoresis, isoelectrofocusing and 2D electrophoresis. The relative molecular mass of the polymeric form was 830 kDa; that of separated H and L chains was, respectively, 78 and 25 kDa. The isoelectric points of the entire molecule ranged from 4.4 to 6.5, that of isolated H chains was between 4.0 and 6.0. Separated H chains were shown to reaggregate in tetrameric form. The cleavage site of trypsin was at the end of the CH1 domain, as confirmed by the N-terminal amino acid sequence of one of the resultant peptides. Immunoblotting was used to detect carbohydrates in the H and L chains labeled with digoxigenin. Glycosyl residues were detected only in the H chain. The carbohydrate content was evaluated to be 12.8% of the entire chain. Purified Igs were hydrolyzed by N-glycosidase F at different conditions and at least four different hydrolytic sites were revealed by limited deglycosylation. T bernacchii IgM was also compared to those of five other polar fish species. (C) 2003 Elsevier Science Inc. All rights reserved.</t>
  </si>
  <si>
    <t>CNR, Inst Prot Biochem, I-80125 Naples, Italy</t>
  </si>
  <si>
    <t>Consiglio Nazionale delle Ricerche (CNR); Istituto di Biochimica delle Proteine (IBP-CNR)</t>
  </si>
  <si>
    <t>CNR, Inst Prot Biochem, Via Marconi 10, I-80125 Naples, Italy.</t>
  </si>
  <si>
    <t>oreste@dafne.ibpe.na.cnr.it</t>
  </si>
  <si>
    <t>pucci, biagio/AAA-9268-2020; Pucci, Biagio/AAS-7502-2021; Coscia, Maria Rosaria/AAU-1808-2021</t>
  </si>
  <si>
    <t>pucci, biagio/0000-0003-4502-1748;</t>
  </si>
  <si>
    <t>STE 800, 230 PARK AVE, NEW YORK, NY 10169 USA</t>
  </si>
  <si>
    <t>1096-4959</t>
  </si>
  <si>
    <t>1879-1107</t>
  </si>
  <si>
    <t>COMP BIOCHEM PHYS B</t>
  </si>
  <si>
    <t>Comp. Biochem. Physiol. B-Biochem. Mol. Biol.</t>
  </si>
  <si>
    <t>10.1016/S1096-4959(03)00090-3</t>
  </si>
  <si>
    <t>Biochemistry &amp; Molecular Biology; Zoology</t>
  </si>
  <si>
    <t>691XE</t>
  </si>
  <si>
    <t>WOS:000183630600013</t>
  </si>
  <si>
    <t>Jouzel, J</t>
  </si>
  <si>
    <t>Past climate (the last 400 ka): from geological times to future climate change.</t>
  </si>
  <si>
    <t>COMPTES RENDUS GEOSCIENCE</t>
  </si>
  <si>
    <t>French</t>
  </si>
  <si>
    <t>ice cores; deep sea cores; continental archives; isotopes; dating</t>
  </si>
  <si>
    <t>VOSTOK ICE CORE; SEA-SURFACE TEMPERATURE; ATMOSPHERIC CO2; GREENLAND CLIMATE; EAST ANTARCTICA; CARBON-DIOXIDE; RECORD; PRECIPITATION; DEGLACIATION; OCEAN</t>
  </si>
  <si>
    <t>Past climate (the last 400 ka): from geological times to future climate change. Studies of past climate have, over the last 15 years, provided a wealth of information directly relevant to its evolution in the future. These results include, in particular, the discovery of a link between greenhouse gases and climate in the past and the characterization of rapid climate changes. They are, for example, based on the analysis of deep ice cores such as the one drilled at the Vostok site, which allows us to describe the evolution of the Antarctic climate and of the atmospheric composition over more than 400 thousands years (kyr). This period is also now better and better documented from the analysis of oceanic and continental records. Through examples based on recent studies, in which French teams are deeply involved, we will illustrate the most important results obtained from the analysis of polar ice cores, deep-sea cores and continental archives. (C) 2003 Academie des sciences. Publie par Editions scientifiques et medicales Elsevier SAS.</t>
  </si>
  <si>
    <t>CE Saclay, Inst Pierre Simon Laplace DSM, CNRS, UMR 1572,CEA,Lab Sci Climat &amp; Environm, F-91191 Gif Sur Yvette, France</t>
  </si>
  <si>
    <t>CEA; Centre National de la Recherche Scientifique (CNRS); Universite Paris Saclay</t>
  </si>
  <si>
    <t>Jouzel, J (corresponding author), CE Saclay, Inst Pierre Simon Laplace DSM, CNRS, UMR 1572,CEA,Lab Sci Climat &amp; Environm, F-91191 Gif Sur Yvette, France.</t>
  </si>
  <si>
    <t>ELSEVIER FRANCE-EDITIONS SCIENTIFIQUES MEDICALES ELSEVIER</t>
  </si>
  <si>
    <t>ISSY-LES-MOULINEAUX</t>
  </si>
  <si>
    <t>65 RUE CAMILLE DESMOULINS, CS50083, 92442 ISSY-LES-MOULINEAUX, FRANCE</t>
  </si>
  <si>
    <t>1631-0713</t>
  </si>
  <si>
    <t>1778-7025</t>
  </si>
  <si>
    <t>CR GEOSCI</t>
  </si>
  <si>
    <t>C. R. Geosci.</t>
  </si>
  <si>
    <t>JUN-JUL</t>
  </si>
  <si>
    <t>6-7</t>
  </si>
  <si>
    <t>10.1016/S1631-0713(03)00103-2</t>
  </si>
  <si>
    <t>730EY</t>
  </si>
  <si>
    <t>WOS:000185817300003</t>
  </si>
  <si>
    <t>Georges, JY; Le Maho, Y</t>
  </si>
  <si>
    <t>Responses of marine and insular ecosystems to climate change.</t>
  </si>
  <si>
    <t>global change; ecosystems; ocean; continent; El Nino; North Atlantic Oscillation; Antarctic Circumpolar Wave</t>
  </si>
  <si>
    <t>NORTH-ATLANTIC OSCILLATION; ANTARCTIC CIRCUMPOLAR WAVE; NINO-SOUTHERN-OSCILLATION; TRACKED KING PENGUINS; EL-NINO; CROZET ARCHIPELAGO; C-HELGOLANDICUS; PACIFIC-OCEAN; TEMPERATURES; FINMARCHICUS</t>
  </si>
  <si>
    <t>Responses of marine and insular ecosystems to climate change. Climate influences a variety of ecological processes. It acts through local environmental conditions such as temperature, winds, precipitations, oceanic currents, but also their interactions. Local environmental changes are often associated with large-scale phenomena. They drive exchanges of energy and biomass, and finally growth, recruitment and migration of species. The understanding of climate change impacts on marine ecosystems requires a better understanding of their effects on the apex of food webs. We here report results of recent studies showing the impact of large-scale environmental changes such as El Nino, North Atlantic Oscillation and Antarctic circumpolar waves on the functioning of marine and insular ecosystems. These phenomena act at relatively small scales in time and space compared to climate changes, but they have similar consequences as predictions of climate change models. They provide natural observatories of ecosystems responses to environmental conditions and global changes. (C) 2003 Academie des sciences. Publie par Editions scientifiques et medicales Elsevier SAS.</t>
  </si>
  <si>
    <t>Univ St Andrews, Sea Mammal Res Unit, St Andrews KY16 8LB, Fife, Scotland; CNRS, UPR 9010, Ctr Ecol &amp; Physiol Energet, F-67087 Strasbourg, France</t>
  </si>
  <si>
    <t>University of St Andrews; Universites de Strasbourg Etablissements Associes; Universite de Strasbourg; Centre National de la Recherche Scientifique (CNRS)</t>
  </si>
  <si>
    <t>Georges, JY (corresponding author), Univ St Andrews, Sea Mammal Res Unit, E Sands, St Andrews KY16 8LB, Fife, Scotland.</t>
  </si>
  <si>
    <t>EDITIONS SCIENTIFIQUES MEDICALES ELSEVIER</t>
  </si>
  <si>
    <t>PARIS CEDEX 15</t>
  </si>
  <si>
    <t>23 RUE LINOIS, 75724 PARIS CEDEX 15, FRANCE</t>
  </si>
  <si>
    <t>10.1016/S1631-0713(03)00101-9</t>
  </si>
  <si>
    <t>WOS:000185817300007</t>
  </si>
  <si>
    <t>Well, R; Roether, W</t>
  </si>
  <si>
    <t>Neon distribution in South Atlantic and South Pacific waters</t>
  </si>
  <si>
    <t>neon; dissolved gases; deviations from solubility equilibrium; upper waters; deep waters</t>
  </si>
  <si>
    <t>MARINE WATERS; WEDDELL SEA; OCEAN; HELIUM; GASES; ICE; ARGON; SEAWATER; LAYER; HE-3</t>
  </si>
  <si>
    <t>We present and assess the distribution of neon in South Atlantic and South Pacific waters, on the basis of more than 3000 mostly new neon data which were obtained primarily under the hydrographic program of the World Ocean Circulation Experiment (predominantly southern summer to fall cruises). Data precision is better than+/-0.5%, and the set is internally consistent within+/-0.3% and partly better, and compatible with reported high-quality neon values. Using suitably averaged data (precision 0.1-0.3%), we find that the total range of neon anomalies relative to a solubility equilibrium with atmospheric neon at the observed potential temperature and salinity (using the solubilities of Weiss, J. Chem. Eng. Data 16 (1971) 235) is approximately 0-4%, and below 2000 in depth, 3-4% only. We consistently observe two types of neon depth profiles, one for the temperate-latitudes ocean, which is characterized by a near-surface maximum and a minimum in Antarctic Intermediate Water, and one for the Southern Ocean that essentially displays a steady increase with depth. The neon distribution reflects the influence of air injected by submerged air bubbles, the areal distribution of atmospheric pressure, seasonal temperature changes in the mixed layer and solar heating below it, and interaction with sea ice and glacial ice, largely in keeping with previous work. However, it appears that interaction with sea ice reduces neon anomalies distinctly less than the literature suggests. The temperate-ocean shallow maxima point to widespread subsurface heating in the course of the summer season by roughly I K. Among the major source water masses of the deep waters, the neon anomalies are lowest in Antarctic Intermediate Water (similar to 1.5%), intermediate in North Atlantic Deep Water (similar to 3%, confirming previous work) and similarly in Circumpolar Deep Water, and highest in Antarctic Bottom Water (similar to 3.8%). The anomalies in Southeast Pacific deep waters (&gt; 2500 m) are comparatively less (only similar to 3.3%), as a result of the contribution of Antarctic Intermediate Water. The present study is the first attempt to deal with the oceanic distribution of neon in a systematic fashion. The results can serve to assist assessments of the oceanic distributions of other dissolved gases. (C) 2003 Elsevier Science Ltd. All rights reserved.</t>
  </si>
  <si>
    <t>Univ Bremen, Inst Umweltphys, FB 1, D-28344 Bremen, Germany</t>
  </si>
  <si>
    <t>Univ Bremen, Inst Umweltphys, FB 1, Postfach 330440, D-28344 Bremen, Germany.</t>
  </si>
  <si>
    <t>wroether@physik.uni-brement.de</t>
  </si>
  <si>
    <t>10.1016/S0967-0637(03)00058-X</t>
  </si>
  <si>
    <t>767NY</t>
  </si>
  <si>
    <t>WOS:000188458400003</t>
  </si>
  <si>
    <t>Hall, AJ; Englehard, GH; Brasseur, SMJM; Vecchione, A; Burton, HR; Reijnders, PJH</t>
  </si>
  <si>
    <t>The immunocompetence handicap hypothesis in two sexually dimorphic pinniped species - is there a sex difference in immunity during early development?</t>
  </si>
  <si>
    <t>DEVELOPMENTAL AND COMPARATIVE IMMUNOLOGY</t>
  </si>
  <si>
    <t>southern elephant seals; grey seals; immunocompetence; disease resistance</t>
  </si>
  <si>
    <t>SOUTHERN ELEPHANT SEALS; FIRST-YEAR SURVIVAL; MIROUNGA-LEONINA; MACQUARIE-ISLAND; PHOCA-VITULINA; HALICHOERUS-GRYPUS; BLOOD-CHEMISTRY; HIRUNDO-RUSTICA; WEANING MASS; BARN SWALLOW</t>
  </si>
  <si>
    <t>The 'immunocompetence handicap hypothesis' predicts that highly sexually dimorphic and polygynous species will exhibit sex differences in immunity. We tested this hypothesis in southern elephant and grey seals during their early development by measuring the following parameters: leucocyte counts, serum IgG levels, erythrocyte sedimentation rate and haematocrit. We failed to find any differences due to sex as assessed by the parameters investigated. Animals were sampled longitudinally during their development and there were significant age effects from birth to weaning in both species. Total and differential leucocyte counts and erythrocyte sedimentation rates increased just prior to weaning then decreased. Haematocrits declined whilst total circulating inummoglobulin G concentrations increased. Body temperatures remained constant throughout the postnatal period. Differences between the species were seen in total leucocyte counts and in polymorphonuclear cells and eosinophils. Southern elephant seals had higher concentrations than grey seals and total leucocyte counts in the former were among the highest reported for mammals. (C) 2003 Elsevier Science Ltd. All rights reserved.</t>
  </si>
  <si>
    <t>Univ St Andrews, NERC, Sea Mammal Res Unit, Gatty Marine Lab, St Andrews KY16 8LB, Fife, Scotland; Alterra, Marine &amp; Coastal Zone Res, NL-1790 AD Den Burg, Netherlands; Univ Groningen, Ctr Ecol &amp; Evolutionary Studies, NL-9750 AA Haren, Netherlands; Australian Antarctic Div, Kingston, Tas 7050, Australia</t>
  </si>
  <si>
    <t>University of St Andrews; UK Research &amp; Innovation (UKRI); Natural Environment Research Council (NERC); Wageningen University &amp; Research; University of Groningen; Australian Antarctic Division</t>
  </si>
  <si>
    <t>Hall, AJ (corresponding author), Univ St Andrews, NERC, Sea Mammal Res Unit, Gatty Marine Lab, St Andrews KY16 8LB, Fife, Scotland.</t>
  </si>
  <si>
    <t>Hall, Ailsa J/E-1596-2011</t>
  </si>
  <si>
    <t>Brasseur, Sophie M.J.M./0000-0002-9245-6990; reijnders, peter/0000-0002-3783-8283</t>
  </si>
  <si>
    <t>0145-305X</t>
  </si>
  <si>
    <t>DEV COMP IMMUNOL</t>
  </si>
  <si>
    <t>Dev. Comp. Immunol.</t>
  </si>
  <si>
    <t>10.1016/S0145-305X(03)00029-6</t>
  </si>
  <si>
    <t>Fisheries; Immunology; Veterinary Sciences; Zoology</t>
  </si>
  <si>
    <t>674GH</t>
  </si>
  <si>
    <t>WOS:000182628700016</t>
  </si>
  <si>
    <t>Ecological games in space and time: The distribution and abundance of Antarctic krill and penguins</t>
  </si>
  <si>
    <t>ECOLOGY</t>
  </si>
  <si>
    <t>Antarctic krill; dynamic game model; Euphausia superba; life-history theory; penguin foraging; predator-prey interactions</t>
  </si>
  <si>
    <t>EUPHAUSIA-SUPERBA; HABITAT SELECTION; CHINSTRAP PENGUINS; PREDATORS; PREY; ZOOPLANKTON; SEGREGATION; STRATEGIES; BEHAVIOR; GROWTH</t>
  </si>
  <si>
    <t>The distribution and abundance of organisms are affected by behaviors, such as habitat selection, foraging, and reproduction. These behaviors are driven by interactions within and between species, environmental conditions, and the biology of the species involved. Although extensive theoretical work has explored predator-prey dynamics, these models have not considered the impact of behavioral plasticity and life-history trade-offs on predicted patterns. We apply a modeling method that allows the consideration of a spatial, dynamic ecological game between predators and prey using a life-history perspective. As an illustrative example, we model the habitat selection of Antarctic krill- and penguins during the time when penguins are land-based for reproduction. Although environmental conditions and the life-history constraints of each species have both direct and indirect effects on both species, the penguin's foraging rule (whether food-maximizing or time-minimizing) has the greatest effect on the qualitative distribution pattern of both species. Size-dependent-diel vertical migration of krill also strongly affects penguin foraging patterns. This model generates suggestions for future research and qualitative predictions that can be tested in the field. The application of this method to a specific problem also demonstrates its ability to increase our understanding of important ecological interactions in general.</t>
  </si>
  <si>
    <t>Univ Calif Santa Cruz, Inst Marine Sci, Santa Cruz, CA 95064 USA; Eastern Illinois Univ, Dept Sci Biol, Charleston, IL 61920 USA; Univ Calif Santa Cruz, Jack Baskin Sch Engn, Dept Appl Math &amp; Stat, Santa Cruz, CA 95064 USA</t>
  </si>
  <si>
    <t>University of California System; University of California Santa Cruz; Eastern Illinois University; University of California System; University of California Santa Cruz</t>
  </si>
  <si>
    <t>Univ Calif Santa Cruz, Inst Marine Sci, 1156 High St, Santa Cruz, CA 95064 USA.</t>
  </si>
  <si>
    <t>shalonzo@ucsc.edu</t>
  </si>
  <si>
    <t>0012-9658</t>
  </si>
  <si>
    <t>1939-9170</t>
  </si>
  <si>
    <t>10.1890/0012-9658(2003)084[1598:EGISAT]2.0.CO;2</t>
  </si>
  <si>
    <t>706KB</t>
  </si>
  <si>
    <t>WOS:000184451900028</t>
  </si>
  <si>
    <t>Christner, BC; Kvitko, BH; Reeve, JN</t>
  </si>
  <si>
    <t>Molecular identification of Bacteria and Eukarya inhabiting an Antarctic cryoconite hole</t>
  </si>
  <si>
    <t>EXTREMOPHILES</t>
  </si>
  <si>
    <t>Antarctica; cryoconite hole; frozen ecosystem; glacial ice; McMurdo Dry Valley; refuge survival</t>
  </si>
  <si>
    <t>SNOWBALL EARTH; LAKE ICE; SEA-ICE; DIVERSITY; TARDIGRADES; PHYLOGENY; GLACIER</t>
  </si>
  <si>
    <t>Inhabitants of a cryoconite hole formed in the Canada Glacier in the McMurdo Dry Valley region of Antarctica have been isolated and identified by small subunit (16S/18S) rDNA amplification, cloning, and sequencing. The sequences obtained revealed the presence of members of eight bacterial lineages (Acidobacterium, Actinobacteria, Cyanobacteria, Cytophagales, Gemmimonas, Planctomycetes, Proteobacteria, and Verrucomicrobia) and metazoan (nematode, tardigrade, and rotifer), truffle (Choiromyces), ciliate (Spathidium), and green algal (Pleurastrium) Eukarya. Bacterial recovery was similar to20-fold higher at 4 degreesC and 15 degreesC than at 22 degreesC, and obligately psychrophilic bacteria were identified and isolated. Several of the rDNA molecules amplified from isolates and directly from cryoconite DNA preparations had sequences similar to rDNA molecules of species present in adjacent lake ice and microbial mat environments. This cryoconite hole community was therefore most likely seeded by particulates from these local environments. Cryoconite holes may serve as biological refuges that, on glacial melting, can repopulate the local environments.</t>
  </si>
  <si>
    <t>Ohio State Univ, Dept Microbiol, Columbus, OH 43210 USA</t>
  </si>
  <si>
    <t>University System of Ohio; Ohio State University</t>
  </si>
  <si>
    <t>Reeve, JN (corresponding author), Ohio State Univ, Dept Microbiol, Columbus, OH 43210 USA.</t>
  </si>
  <si>
    <t>SPRINGER-VERLAG TOKYO</t>
  </si>
  <si>
    <t>3-3-13, HONGO, BUNKYO-KU, TOKYO, 113-0033, JAPAN</t>
  </si>
  <si>
    <t>1431-0651</t>
  </si>
  <si>
    <t>Extremophiles</t>
  </si>
  <si>
    <t>10.1007/s00792-002-0309-0</t>
  </si>
  <si>
    <t>Biochemistry &amp; Molecular Biology; Microbiology</t>
  </si>
  <si>
    <t>694XJ</t>
  </si>
  <si>
    <t>WOS:000183800200002</t>
  </si>
  <si>
    <t>Robertson, G; Moe, E; Haugen, R; Wienecke, B</t>
  </si>
  <si>
    <t>How fast do demersal longlines sink?</t>
  </si>
  <si>
    <t>demersal longlines; autoline; seabird-fisheries interactions; line sink rates</t>
  </si>
  <si>
    <t>Longlines that sink fast reduce the time available to seabirds to attack baited hooks and are important in efforts to minimise seabird by-catch in longline fisheries. We measured sink rates in still seawater of longlines commonly used in the world's demersal fisheries. Lines with integrated weight (lead cores) sank two to three times faster (45-52 cm/s) than conventional (unweighted) lines. Conventional 9 mm diameter lines made from polyester sank at 23 cm/s compared to 18 cm/s for 9 mm Silver lines (blend of polyester, polyethylene and polypropylene). Samples of lines set by hand in still water sank significantly faster than longlines set from a fishing vessel, presumably because of the effect of the sea swell and upwellings from the propeller on the line set from the vessel. (C) 2002 Elsevier Science B.V. All rights reserved.</t>
  </si>
  <si>
    <t>Australian Antarctic Div, Kingston, Tas 7050, Australia; Fiskevegen AS, N-6748 Flatraket, Norway</t>
  </si>
  <si>
    <t>graham.robertson@aad.gov.au</t>
  </si>
  <si>
    <t>10.1016/S0165-7836(02)00276-X</t>
  </si>
  <si>
    <t>684YW</t>
  </si>
  <si>
    <t>WOS:000183234900011</t>
  </si>
  <si>
    <t>Hua, X; Li, J; Buseck, PR</t>
  </si>
  <si>
    <t>Oscillatory zoned fayalitic olivine from the Lewis Cliff 90500 CM2 meteorite</t>
  </si>
  <si>
    <t>TRANSMISSION ELECTRON-MICROSCOPY; CV3 CARBONACEOUS CHONDRITE; FINE-GRAINED RIMS; AQUEOUS ALTERATION; PARENT BODY; RICH RIMS; MINERALOGY; ORIGIN; MATRIX; PHYLLOSILICATES</t>
  </si>
  <si>
    <t>A grain of fayalitic olivine with oscillatory Fe-rich and Fe-poor zoning occurs in the Antarctic Lewis Cliff 90500 CM meteorite, suggesting reaction via diffusion. This grain is continuously enclosed by a fine-grained rim ranging from 20 to 100 mum, in thickness. Phyllosilicates and other hydrous phases occur at three broken edges of the grain as well as within its surrounding rim, suggesting in situ alteration via aqueous processes. This olivine grain plus its rim provides evidence for both anhydrous reaction that predated the accretion of the meteorite parent body and hydrous alteration that presumably occurred on the parent body. Copyright (C) 2003 Elsevier Science Ltd.</t>
  </si>
  <si>
    <t>Arizona State Univ, Dept Geol Sci, Tempe, AZ 85287 USA; Arizona State Univ, Dept Chem Biochem, Tempe, AZ 85287 USA</t>
  </si>
  <si>
    <t>Arizona State University; Arizona State University-Tempe; Arizona State University; Arizona State University-Tempe</t>
  </si>
  <si>
    <t>Hua, X (corresponding author), Arizona State Univ, Dept Geol Sci, Box 871404, Tempe, AZ 85287 USA.</t>
  </si>
  <si>
    <t>10.1016/S0016-7037(02)01374-1</t>
  </si>
  <si>
    <t>691LT</t>
  </si>
  <si>
    <t>WOS:000183608300008</t>
  </si>
  <si>
    <t>Bahk, JJ; Yoon, HI; Kim, YD; Kang, CY; Bae, SH</t>
  </si>
  <si>
    <t>Microfabric analysis of laminated diatom ooze (Holocene) from the eastern Bransfield Strait, Antarctic Peninsula</t>
  </si>
  <si>
    <t>GEOSCIENCES JOURNAL</t>
  </si>
  <si>
    <t>diatoms; laminations; Holocene; Bransfield Strait; Antarctic Peninsula</t>
  </si>
  <si>
    <t>ATLANTIC SECTOR; SOUTHERN-OCEAN; SEDIMENTATION; RECORD; REGION; BASIN; SEA; OSCILLATIONS; ASSEMBLAGES; PARTICLES</t>
  </si>
  <si>
    <t>Selected intervals of laminated diatom ooze (Holocene) from the eastern Bransfield Strait, Antarctic Peninsula were analyzed using high-resolution section images of impregnated samples to reveal potential annual-to-seasonal scale signatures of the lamination. The results show a probable seasonality within individual diatom ooze laminae which mainly reflects spring blooms of Chaetoceros followed by summer production of Corethron or Rhizosolenia. Alternating monospecific diatom ooze and terrigenous laminae are suggestive of annual cyclicities, representing alternation of diatom mass flux during the spring or autumn with terrigenous flux during the rest of year.</t>
  </si>
  <si>
    <t>Korea Ocean Res &amp; Dev Inst, Global Environm Res Lab, Ansan 425600, Seoul, South Korea; Korea Ocean Res &amp; Dev Inst, Polar Sci Lab, Ansan 425600, Seoul, South Korea</t>
  </si>
  <si>
    <t>Korea Institute of Ocean Science &amp; Technology (KIOST); Korea Institute of Ocean Science &amp; Technology (KIOST)</t>
  </si>
  <si>
    <t>Bahk, JJ (corresponding author), Korea Ocean Res &amp; Dev Inst, Global Environm Res Lab, POB 29, Ansan 425600, Seoul, South Korea.</t>
  </si>
  <si>
    <t>jjbahk@kordi.re.kr</t>
  </si>
  <si>
    <t>Bahk, Jangjun/0000-0003-1480-7414</t>
  </si>
  <si>
    <t>HANRIMWON PUBLISHING COMPANY</t>
  </si>
  <si>
    <t>SEOUL</t>
  </si>
  <si>
    <t>206-3 OHJANG-DONG, CHOONG-KU, SEOUL 100-310, SOUTH KOREA</t>
  </si>
  <si>
    <t>1226-4806</t>
  </si>
  <si>
    <t>GEOSCI J</t>
  </si>
  <si>
    <t>Geosci. J.</t>
  </si>
  <si>
    <t>10.1007/BF02910216</t>
  </si>
  <si>
    <t>767HG</t>
  </si>
  <si>
    <t>WOS:000188433700006</t>
  </si>
  <si>
    <t>Brierley, AS; Gull, SF; Wafy, MH</t>
  </si>
  <si>
    <t>A Bayesian maximum entropy reconstruction of stock distribution and inference of stock density from line-transect acoustic-survey data</t>
  </si>
  <si>
    <t>acoustic-survey; Antarctic krill; Bayesian; line-transect; maximum entropy; stock density; stock distribution</t>
  </si>
  <si>
    <t>AREA</t>
  </si>
  <si>
    <t>We present a maximum-entropy (MaxEnt) method for inferring stock density and mapping stock distribution from acoustic line-transect data. MaxEnt is founded on the bedrock of probability theory and allows the most efficient possible use of known data in the inference process. The method takes explicit account of spatial correlation in the observed data and seeks to reconstruct a distribution of density across the whole survey area that is both consistent with the observed data and for which the entropy is maximized. The method is iterative and uses the Bayesian approach of evaluating the posterior probability of a candidate solution under the constraint of the observed data to progress towards a converged solution. We apply the method to reconstruct maps of the distribution of Antarctic krill throughout areas 100 x 80 km. Survey data were integrated at 0.5-km intervals along ten 80-km transects, giving approximately 1600 observed data points. We inferred the krill density for all 32 000 0.5 x 0.5 km cells in the area. The method is demanding computationally, but appears to work well even in cases when the distribution of density is highly skewed. The MaxEnt technique has proved to be powerful for reconstructing quantitative images from incomplete and noisy physical data (e.g. radio-telescope data): we suggest that it has utility in biological systems too and could be of benefit to the fisheries-acoustics community, increasing the accuracy of acoustic estimates of stock density and generating better maps of stock distribution. (C) 2003 International Council for the Exploration of the Sea. Published by Elsevier Science Ltd. All rights reserved.</t>
  </si>
  <si>
    <t>Univ St Andrews, Gatty Marine Lab, St Andrews KY16 8LB, Fife, Scotland; Cavendish Lab, Astrophys Grp, Cambridge CB3 0HE, England</t>
  </si>
  <si>
    <t>University of St Andrews; University of Cambridge</t>
  </si>
  <si>
    <t>Univ St Andrews, Gatty Marine Lab, St Andrews KY16 8LB, Fife, Scotland.</t>
  </si>
  <si>
    <t>andrew.brierley@st-andrews.ac.uk</t>
  </si>
  <si>
    <t>Brierley, Andrew/G-8019-2011</t>
  </si>
  <si>
    <t>Brierley, Andrew/0000-0002-6438-6892</t>
  </si>
  <si>
    <t>1095-9289</t>
  </si>
  <si>
    <t>10.1016/S1054-3139(03)00027-4</t>
  </si>
  <si>
    <t>694GT</t>
  </si>
  <si>
    <t>WOS:000183766600003</t>
  </si>
  <si>
    <t>Stanton, TK; Reeder, DB; Jech, JM</t>
  </si>
  <si>
    <t>Inferring fish orientation from broadband-acoustic echoes</t>
  </si>
  <si>
    <t>acoustic scattering; broadband acoustics; fish</t>
  </si>
  <si>
    <t>ANTARCTIC KRILL; ZOOPLANKTON; SCATTERING; ANGLE</t>
  </si>
  <si>
    <t>A new method has been developed for inferring the orientation of fish through the use of broadband-acoustic signals. The method takes advantage of the high range resolution of these signals, once temporally compressed through cross-correlation. The temporal resolution of these compressed signals is inversely proportional to the bandwidth, thus the greater the bandwidth the higher the resolution. This process has been applied to broadband-chirp signals spanning the frequency range 40-95 kHz to obtain a range resolution of approximately 2 cm from the original, unprocessed resolution of about 50 cm. With such high resolution, individual scattering features along the fish have been resolved, especially for angles well off normal incidence. The overall duration of the compressed echo from live, individual alewife, as measured in a laboratory tank, is shown to increase monotonically with orientation angle relative to normal incidence. The increase is due to the greater range separation relative to the transducer between the echoes from the head and tail of the fish. The results of this study show that with a priori knowledge of the length of the fish, the orientation could be estimated from the duration of a single, compressed broadband echo. This method applies to individual, acoustically resolved fish. It has advantages over previous approaches because it derives the orientation from a single ping and it does not use a formal, mathematical scattering model. Design parameters for applications in the ocean are given for a range of conditions and fish size. (C) 2003 International Council for the Exploration of the Sea. Published by Elsevier Science Ltd. All rights reserved.</t>
  </si>
  <si>
    <t>Woods Hole Oceanog Inst, Dept Appl Ocean Phys &amp; Engn, Woods Hole, MA 02543 USA; NE Fisheris Sci Ctr, Woods Hole, MA 02543 USA</t>
  </si>
  <si>
    <t>Woods Hole Oceanographic Institution; National Oceanic Atmospheric Admin (NOAA) - USA</t>
  </si>
  <si>
    <t>Woods Hole Oceanog Inst, Dept Appl Ocean Phys &amp; Engn, 98 Water St,MS 11, Woods Hole, MA 02543 USA.</t>
  </si>
  <si>
    <t>tstanton@whoi.edu; michael.jech@noaa.gov</t>
  </si>
  <si>
    <t>10.1016/S1054-3139(03)00032-8</t>
  </si>
  <si>
    <t>WOS:000183766600013</t>
  </si>
  <si>
    <t>Demer, DA; Conti, SG</t>
  </si>
  <si>
    <t>Validation of the stochastic distorted-wave Born approximation model with broad bandwidth total target strength measurements of Antarctic krill</t>
  </si>
  <si>
    <t>Antarctic krill; broadband; classification; stochastic distorted-wave Born-approximation; model; total cross-section; total target strength</t>
  </si>
  <si>
    <t>EUPHAUSIA-SUPERBA; SPECIES IDENTIFICATION; ACOUSTIC SCATTERING; 120 KHZ; ZOOPLANKTON; ORIENTATION; ABUNDANCE; BACKSCATTERING; SOUND</t>
  </si>
  <si>
    <t>Total-scattering cross-sections (sigma(t)) of Antarctic krill (Euphausia superba) were measured over a broad bandwidth (36-202 kHz) using a new technique based on acoustical reverberation in a cavity. From 18 February to 9 March 2002, mean total target strengths (TTS 10 log(sigma(t)/4pi)), were measured from groups of 57-1169 krill (average standard length 31.6 turn; standard deviation = 6.6 mm) at the Cape Shirreff field station, Livingston Island, Antarctica, and aboard RV Yuzhmorgeologiya. Chirp pulses were transmitted sequentially by an omni-directional emitter into one of three glass carboys containing groups of krill swimming in 9.3, 19.3, or 45.9 liters of seawater (0.6degreesC less than or equal totemperatureless than or equal to 4.0degreesC). Between each pulse the krill moved within the fixed-boundary tank and the modulated reverberations were sensed bi-statically with three omni-directional receivers. At each center frequency (f(c)) the coherent energy in 200-pulse ensembles identified sound scattered by the tank. The incoherent energy described total sound scattering from the krill, Thus, the TTS at each f(c) was extracted from a correlation analysis of energy reverberated in the tank. Measurement bias was determined to be +/-0.4 dB from an experiment using metal sphere reference targets, and the precision was estimated as +/-0.8 dB from the variability in the krill TTS (f(c)) measurements. The empirical estimates of mean sigma(t) corroborated a krill-scattering model based on the distorted-wave Born approximation (DWBA), enhanced by the authors to account for the stochastic nature of sound scattering (SDWBA), integrated over all scattering angles and averaged over all incident angles (SDWBA(TTS)). The SDWBA, solved for target strength of Antarctic krill, may be the best predictor of backscatter for this important species and may also provide backscattering spectra for improving their acoustic identification. These advances may help to reduce uncertainty in krill-biomass estimation using multi-frequency echosounder data and echo-integration methods. Published by Elsevier Science Ltd on behalf of International Council for the Exploration of the Sea.</t>
  </si>
  <si>
    <t>SW Fisheries Sci Ctr, La Jolla, CA 92037 USA</t>
  </si>
  <si>
    <t>Demer, DA (corresponding author), SW Fisheries Sci Ctr, 8604 La Jolla Shores Dr, La Jolla, CA 92037 USA.</t>
  </si>
  <si>
    <t>10.1016/S1054-3139(03)00063-8</t>
  </si>
  <si>
    <t>WOS:000183766600027</t>
  </si>
  <si>
    <t>Woodd-Walker, RS; Watkins, JL; Brierley, AS</t>
  </si>
  <si>
    <t>Identification of Southern Ocean acoustic targets using aggregationbackscatter and shape characteristics</t>
  </si>
  <si>
    <t>acoustics; artificial neural network; Euphausia superba; krill; linear discriminant analysis; South Georgia; Southern Ocean; zooplankton</t>
  </si>
  <si>
    <t>ANTARCTIC KRILL; FISH SCHOOLS; SPECIES IDENTIFICATION; BIOLOGICAL PATCHINESS; CLASSIFICATION; ABUNDANCE; GEORGIA; EDGE; ATLANTIC; NETWORKS</t>
  </si>
  <si>
    <t>Acoustic surveys for biomass estimation require accurate identification of echoes from the target species. In one objective technique for identifying Antarctic krill, the difference between mean volume-backscattering strength at two frequencies is used, but can misclassify small krill and other plankton. Here, we investigate ways to improve target identification by including characteristics of backscattering energy and morphology of aggregations. To do this, multi-frequency acoustic data were collected concurrently with target fishing of Antarctic krill and other euphausiid and salp aggregations. Parameter sets for these known aggregations were collated and used to develop empirical classifications. Both linear discriminant-function analysis (DFA) and the artificial neural network technique were employed. In both cases, acoustic-backscattering energy parameters were most important for discriminating between Antarctic krill and other zooplankton. However, swarm morphology and other parameters improved the discrimination, particularly between krill and salps. Our study suggests that for krill-biomass estimates, a simple DFA based on acoustic-energy parameters is a substantial improvement over current dB-difference acoustic methods; but studies requiring the discrimination of zooplankton other than krill must still be supported by target fishing. (C) 2003 International Council for the Exploration of the Sea. Published by Elsevier Science Ltd. All rights reserved.</t>
  </si>
  <si>
    <t>British Antarctic Survey, Cambridge CB3 0ET, England; Univ St Andrews, Gatty Marine Lab, St Andrews KY16 8LB, Fife, Scotland</t>
  </si>
  <si>
    <t>UK Research &amp; Innovation (UKRI); Natural Environment Research Council (NERC); NERC British Antarctic Survey; University of St Andrews</t>
  </si>
  <si>
    <t>Watkins, JL (corresponding author), British Antarctic Survey, Madingley Rd, Cambridge CB3 0ET, England.</t>
  </si>
  <si>
    <t>10.1016/S1054-3139(03)00062-6</t>
  </si>
  <si>
    <t>WOS:000183766600029</t>
  </si>
  <si>
    <t>Fernandes, PG; Stevenson, P; Brierley, AS; Armstrong, F; Simmonds, EJ</t>
  </si>
  <si>
    <t>Autonomous underwater vehicles: future platforms for fisheries acoustics</t>
  </si>
  <si>
    <t>autonomous underwater vehicles; echosounders; sonar; power sources</t>
  </si>
  <si>
    <t>SPECIES IDENTIFICATION; ANTARCTIC KRILL; ORANGE ROUGHY; SOUTH; FISH; OCEAN; SEA; OCEANOGRAPHY; ABUNDANCE; BIOMASS</t>
  </si>
  <si>
    <t>Autonomous underwater vehicles (AUVs) are unmanned submersibles that can be preprogrammed to navigate in three dimensions under water. The technological advances required for reliable deployment, mission control, performance, and recovery of AUVs have developed considerably over the past 10 years. Currently, there are several vehicles operating successfully in the offshore industries as well as in the applied and academic oceanographic sciences. This article reviews the application of AUVs to fisheries- and plankton-acoustics research. Specifications of the main AUVs currently in operation are given. Compared to traditional platforms for acoustic instruments, AUVs can sample previously impenetrable environments such as the sea surface, the deep sea, and under-sea ice. Furthermore, AUVs are typically small, quiet, and have the potential to operate at low cost and be unconstrained by the vagaries of weather. Examples of how these traits may be utilized in fisheries-acoustics science are given with reference to previous work in the North Sea and Southern Ocean and to potential future applications. Concurrent advances in multi-beam sonar technology and species identification, using multi-frequency and broadband sonars, will further enhance the utility of AUVs for fisheries acoustics. However, before many of the more prospective applications can be accomplished, advances in power-source technology are required to increase the range of operation. The paper ends by considering developments that may turn AUVs from objects sometimes perceived as science fiction into instruments used routinely to gather scientific facts. Crown Copyright (C) 2003 Published by Elsevier Science Ltd on behalf of International Council for the Exploration of the Sea. All rights reserved.</t>
  </si>
  <si>
    <t>Marine Lab Aberdeen, Fisheries Res Serv, Aberdeen AB11 9DB, Scotland; Southampton Oceanog Ctr, Southampton SO14 3ZH, Hants, England; Univ St Andrews, Gatty Marine Lab, St Andrews KY16 8LB, Fife, Scotland</t>
  </si>
  <si>
    <t>University of Southampton; NERC National Oceanography Centre; University of St Andrews</t>
  </si>
  <si>
    <t>Marine Lab Aberdeen, Fisheries Res Serv, POB 101,Victoria Rd, Aberdeen AB11 9DB, Scotland.</t>
  </si>
  <si>
    <t>fernandespg@marlab.ac.uk</t>
  </si>
  <si>
    <t>Fernandes, Paul George/H-2972-2013; Brierley, Andrew/G-8019-2011</t>
  </si>
  <si>
    <t>Fernandes, Paul George/0000-0003-4135-115X; Brierley, Andrew/0000-0002-6438-6892</t>
  </si>
  <si>
    <t>10.1016/S1054-3139(03)00038-9</t>
  </si>
  <si>
    <t>WOS:000183766600035</t>
  </si>
  <si>
    <t>Cockell, CS</t>
  </si>
  <si>
    <t>A scientific response to small asteroid and comet impacts</t>
  </si>
  <si>
    <t>INTERDISCIPLINARY SCIENCE REVIEWS</t>
  </si>
  <si>
    <t>Cockell, CS (corresponding author), British Antarctic Survey, Cambridge CB3 0ET, England.</t>
  </si>
  <si>
    <t>Natural Environment Research Council [bas010008] Funding Source: researchfish; NERC [bas010008] Funding Source: UKRI</t>
  </si>
  <si>
    <t>Natural Environment Research Council(UK Research &amp; Innovation (UKRI)Natural Environment Research Council (NERC)); NERC(UK Research &amp; Innovation (UKRI)Natural Environment Research Council (NERC))</t>
  </si>
  <si>
    <t>MANEY PUBLISHING</t>
  </si>
  <si>
    <t>LEEDS</t>
  </si>
  <si>
    <t>HUDSON RD, LEEDS LS9 7DL, ENGLAND</t>
  </si>
  <si>
    <t>0308-0188</t>
  </si>
  <si>
    <t>INTERDISCIPL SCI REV</t>
  </si>
  <si>
    <t>Interdiscip. Sci. Rev.</t>
  </si>
  <si>
    <t>10.1179/030801803225005094</t>
  </si>
  <si>
    <t>Multidisciplinary Sciences; Social Sciences, Interdisciplinary</t>
  </si>
  <si>
    <t>Science &amp; Technology - Other Topics; Social Sciences - Other Topics</t>
  </si>
  <si>
    <t>706FY</t>
  </si>
  <si>
    <t>WOS:000184444000002</t>
  </si>
  <si>
    <t>Chmel, A; Kuksenko, VS; Tomilin, NG; Andreeva, OI; Smirnov, VN</t>
  </si>
  <si>
    <t>Assessment of mechanical behavior of sea-ice cover as hierarchic, self-similar system</t>
  </si>
  <si>
    <t>INTERNATIONAL JOURNAL OF OFFSHORE AND POLAR ENGINEERING</t>
  </si>
  <si>
    <t>sea-ice cover; hierarchy; fractal pattern</t>
  </si>
  <si>
    <t>The analysis of the AVHRR (advanced very high resolution radiometer) images demonstrates both the hierarchic and fractal properties of the sea-ice cover in the Central Arctic. The determined fractal dimension is the same for the entire collection of ice-floe fragments available for analysis, that is, it includes ice blocks 5 to 5 x 101 kin in size. The processes that lead to compacting, shearing or diverging of ice fields affect the geometry of fragments with a corresponding response of the fractal dimension.</t>
  </si>
  <si>
    <t>Russian Acad Sci, AF Ioffe Physicotech Inst, St Petersburg 196140, Russia; Arctic &amp; Antarctic Res Inst, St Petersburg 199226, Russia</t>
  </si>
  <si>
    <t>Russian Academy of Sciences; St. Petersburg Scientific Centre of the Russian Academy of Sciences; Ioffe Physical Technical Institute; Arctic &amp; Antarctic Research Institute</t>
  </si>
  <si>
    <t>Chmel, A (corresponding author), Russian Acad Sci, AF Ioffe Physicotech Inst, St Petersburg 196140, Russia.</t>
  </si>
  <si>
    <t>Kuksenko, Victor V. S./M-7793-2014</t>
  </si>
  <si>
    <t>INT SOC OFFSHORE POLAR ENGINEERS</t>
  </si>
  <si>
    <t>CUPERTINO</t>
  </si>
  <si>
    <t>PO BOX 189, CUPERTINO, CA 95015-0189 USA</t>
  </si>
  <si>
    <t>1053-5381</t>
  </si>
  <si>
    <t>INT J OFFSHORE POLAR</t>
  </si>
  <si>
    <t>Int. J. Offshore Polar Eng.</t>
  </si>
  <si>
    <t>Engineering, Civil; Engineering, Ocean; Engineering, Mechanical</t>
  </si>
  <si>
    <t>688TA</t>
  </si>
  <si>
    <t>WOS:000183451000008</t>
  </si>
  <si>
    <t>Shirai, T; Magara, KK; Motohashi, S; Yamashita, M; Kimura, M; Suwazomo, Y; Nogawa, K; Kuriyama, T; Taniguchi, M; Nakayama, T</t>
  </si>
  <si>
    <t>TH1-biased immunity induced by exposure to Antarctic winter</t>
  </si>
  <si>
    <t>JOURNAL OF ALLERGY AND CLINICAL IMMUNOLOGY</t>
  </si>
  <si>
    <t>T(H)1/T(H)2 cells; cytokines; allergy; inflammation</t>
  </si>
  <si>
    <t>PITUITARY-ADRENAL AXIS; T-CELLS; COLD-EXPOSURE; NKT CELLS; STRESS; ACTIVATION; CYTOKINES; EXERCISE; HUMANS; INTERLEUKIN-6</t>
  </si>
  <si>
    <t>Background: Certain immune functions are known to be impaired in human beings exposed to Antarctic winter; in particular, decreased amounts of serum proinflammatory cytokines, such as TNF-alpha and IL-1, were noted. It is not known, however, whether this exposure has any effect on T-cell-mediated acquired immune functions. Objectives: This study aims to investigate whether exposure to Antarctic winter has any effect on T cell-dependent immune functions. Methods: We assessed changes in various immunologic indicators. including serum levels of various cytokines, peripheral blood Valpha24Vbeta11 natural killer T cell numbers, and T(H)1/T(H)2 ratios of 40 Japanese personnel exposed to an Antarctic winter. Also, a 2-month inland traverse was executed during the isolation, and the effect on the above indicators was assessed. Results: All subjects were healthy during the Antarctic isolation. The levels of serum TNF-alpha, IL-1Ra, IL-6, and IL-1beta were dramatically reduced and remained at low levels throughout the isolation. The decrease in the levels of TNF-alpha and IL-1Ra was more pronounced during the inland traverse than during the rest of the isolation. The percentage of Valpha24Vbeta11 natural killer T cells was significantly increased at the midpoint of the isolation. Most interestingly, T(H)1/T(H)2 ratio was increased significantly, and this T(H)1 bias was most prominent at the late point of the isolation. Conclusions: Exposure to an Antarctic winter appeared to induce T(H)1-skewed immunity in human beings. (J Allergy Clin Immunol 2003;111:1353-60.).</t>
  </si>
  <si>
    <t>Chiba Univ, Grad Sch Med, Dept Med Immunol, Chuo Ku, Chiba 2608670, Japan; Chiba Univ, Grad Sch Med, Dept Respirol, Chiba 2608670, Japan; Chiba Univ, Grad Sch Med, Dept Med Immunol, Chiba 2608670, Japan; Chiba Univ, Grad Sch Med, Dept Occupat &amp; Environm Med, Chiba 2608670, Japan; Japan Sci &amp; Technol Corp, PRESTO Project, Chiba, Japan; RIKEN, Res Ctr Allergy &amp; Immunol, Lab Immune Regulat, Chiba, Japan</t>
  </si>
  <si>
    <t>Chiba University; Chiba University; Chiba University; Chiba University; Japan Science &amp; Technology Agency (JST); RIKEN</t>
  </si>
  <si>
    <t>Chiba Univ, Grad Sch Med, Dept Med Immunol, Chuo Ku, 1-8-1 Inohana, Chiba 2608670, Japan.</t>
  </si>
  <si>
    <t>Nakayama, Toshinori/E-1067-2017</t>
  </si>
  <si>
    <t>Nakayama, Toshinori/0000-0002-1434-2007</t>
  </si>
  <si>
    <t>MOSBY-ELSEVIER</t>
  </si>
  <si>
    <t>360 PARK AVENUE SOUTH, NEW YORK, NY 10010-1710 USA</t>
  </si>
  <si>
    <t>0091-6749</t>
  </si>
  <si>
    <t>1097-6825</t>
  </si>
  <si>
    <t>J ALLERGY CLIN IMMUN</t>
  </si>
  <si>
    <t>J. Allergy Clin. Immunol.</t>
  </si>
  <si>
    <t>10.1067/mai.2003.1504</t>
  </si>
  <si>
    <t>Allergy; Immunology</t>
  </si>
  <si>
    <t>688FZ</t>
  </si>
  <si>
    <t>WOS:000183424700027</t>
  </si>
  <si>
    <t>Pavolonis, MJ; Key, JR</t>
  </si>
  <si>
    <t>Antarctic cloud radiative forcing at the surface estimated from the AVHRR Polar Pathfinder and ISCCP D1 datasets, 1985-93</t>
  </si>
  <si>
    <t>ARCTIC-OCEAN; FLUXES; IMPACT</t>
  </si>
  <si>
    <t>Surface cloud radiative forcing from the newly extended Advanced Very High Resolution Radiometer (AVHRR) Polar Pathfinder (APP-x) dataset and surface cloud radiative forcing calculated using cloud and surface properties from the International Satellite Cloud Climatology Project (ISCCP) D-series product were used in this 9-yr (1985-93) study. On the monthly timescale, clouds were found to have a warming effect on the surface of the Antarctic continent every month of the year in both datasets. Over the ocean poleward of 58.75degreesS, clouds were found to have a warming effect on the surface from March through October in the ISCCP-derived dataset and from April through September in the APP-x dataset. Net surface fluxes from both datasets were validated against net surface fluxes calculated from measurements of upwelling and downwelling shortwave and longwave radiation at the Neumayer and Amundsen-Scott South Pole Stations in the Antarctic. The net all-wave surface flux from the ISCCP-derived dataset was found to be within 0.4-50 W m(-2) of the net all-wave flux at the two stations on the monthly timescale. The APP-x net all-wave surface flux was found to be within 0.9-24 W m(-2). Model sensitivity studies were conducted to gain insight into how the surface radiation budget in a cloudy atmosphere will change if certain cloud and surface properties were to change in association with regional and/or global climate change. The results indicate that the net cloud forcing will be most sensitive to changes in cloud amount, surface reflectance, cloud optical depth, and cloud-top pressure.</t>
  </si>
  <si>
    <t>Univ Wisconsin, Cooperat Inst Meteorol Satellite Studies, Madison, WI USA; NOAA, Off Res &amp; Applicat, NESDIS, Madison, WI USA</t>
  </si>
  <si>
    <t>University of Wisconsin System; University of Wisconsin Madison; National Oceanic Atmospheric Admin (NOAA) - USA</t>
  </si>
  <si>
    <t>1225 W Dayton St, Madison, WI 53706 USA.</t>
  </si>
  <si>
    <t>mpav@ssec.wisc.edu</t>
  </si>
  <si>
    <t>Key, Jeffrey R./AAB-7248-2020; Pavolonis, Mike/F-5618-2010</t>
  </si>
  <si>
    <t>Pavolonis, Mike/0000-0001-5822-219X</t>
  </si>
  <si>
    <t>10.1175/1520-0450(2003)042&lt;0827:ACRFAT&gt;2.0.CO;2</t>
  </si>
  <si>
    <t>683LU</t>
  </si>
  <si>
    <t>WOS:000183151500012</t>
  </si>
  <si>
    <t>Pütz, K; Smith, JG; Ingham, RJ; Lüthi, BH</t>
  </si>
  <si>
    <t>Satellite tracking of male rockhopper penguins Eudyptes chrysocome during the incubation period at the Falkland Islands</t>
  </si>
  <si>
    <t>JOURNAL OF AVIAN BIOLOGY</t>
  </si>
  <si>
    <t>SPHENISCUS-MAGELLANICUS; PYGOSCELIS-ADELIAE; POPULATION TRENDS; WINTER MIGRATION; DIET COMPOSITION; BREEDING-SEASON; FORAGING RANGE; KING PENGUINS; GENTOO; CONSERVATION</t>
  </si>
  <si>
    <t>The foraging patterns of ten male rockhopper penguins Eudyptes chrysocome from the Falkland Islands were recorded during the incubation period by using satellite telemetry. Irrespective of study site and year, two different foraging areas could be identified. Three foraging trips were directed towards the slope of the Patagonian Shelf c. 140 km to the northeast of the breeding colony and these trips had a duration of 11 - 15 days. The seven other rockhopper penguins travelled c. 400 km towards the edge of the Falkland Islands' waters; all these foraging trips followed an anti-clockwise direction and lasted 16-27 days. The calculated mean daily travelling speed, based on the time spent underwater and the distance covered between two positions, was significantly higher in birds travelling to the edge of the Falkland Islands' waters compared with those foraging at the shelf slope (4.4 +/- 1.6 km/h vs. 3.4 +/- 2.0 km/h, respectively). The consistent foraging patterns exhibited during the long trips may be linked to the Falklands current, allowing the penguins to reach remote areas while reducing their energy expenditure. Potential interactions between commercial fisheries and hydrocarbon exploration are discussed.</t>
  </si>
  <si>
    <t>Antarctic Res Trust, Stanley, Falkland Island, England; Falklands Conservat, Stanley, Falkland Island, England; Zoo Zurich, Antarctic Res Trust, CH-8044 Zurich, Switzerland</t>
  </si>
  <si>
    <t>Pütz, K (corresponding author), Antarctic Res Trust, POB 685, Stanley, Falkland Island, England.</t>
  </si>
  <si>
    <t>Puetz, Klemens/0000-0003-1375-2669</t>
  </si>
  <si>
    <t>0908-8857</t>
  </si>
  <si>
    <t>J AVIAN BIOL</t>
  </si>
  <si>
    <t>J. Avian Biol.</t>
  </si>
  <si>
    <t>10.1034/j.1600-048X.2003.03100.x</t>
  </si>
  <si>
    <t>700GZ</t>
  </si>
  <si>
    <t>WOS:000184105400003</t>
  </si>
  <si>
    <t>Inchausti, P; Guinet, C; Koudil, M; Durbec, JP; Barbraud, C; Weimerskirch, H; Cherel, Y; Jouventin, P</t>
  </si>
  <si>
    <t>Inter-annual variability in the breeding performance of seabirds in relation to oceanographic anomalies that affect the Crozet and the Kerguelen sectors of the Southern Ocean</t>
  </si>
  <si>
    <t>SEA-SURFACE TEMPERATURE; WANDERING ALBATROSSES; CLIMATE-CHANGE; ICE EXTENT; ISLANDS; ABUNDANCE; ECOSYSTEM; ATLANTIC; PETREL</t>
  </si>
  <si>
    <t>Global warming is expected to increase the frequency and intensity of inter-annual variation in Sea-Surface Temperatures (SST) associated with a latitudinal shift of frontal structures in the Southern Ocean. However, the long-term consequences of these major climatic events on the biotic environment remain poorly understood. We studied the effect of SST anomalies in the southern Indian Ocean on the breeding success of eight seabird species, and found these temperature anomalies to have different effects depending on the foraging habitat of the species. The breeding success of four seabird species foraging mainly south of the Polar Front in Antarctic waters was significantly depressed by warm SST occurring mainly in winter and spring, prior to breeding. Conversely, warm SST anomalies were associated with a higher breeding success for species foraging mainly north of the Polar Front, while no significant effect was found for two species that forage on the Kerguelen plateau. These different responses to changes in the SST were also observed for two closely related species (sooty albatross Phoebetria fusca and light-mantled sooty albatross. palpebrata) breeding at Kerguelen. These observations highlight the importance of multi-species long-term monitoring programs for understanding the ecological consequences of environmental variability. Our results suggest that the predicted southward shift of the Polar Front caused by oceanic warming could lead to an important decrease in the breeding performance of top predator seabirds depending on the location and changes of their foraging habitat in relation the Polar Front.</t>
  </si>
  <si>
    <t>CNRS, UPR 1934, Ctr Etudes Biol Chize, F-79360 Bois Guillaume, France; Ctr Oceanol Marseille, F-13288 Marseille 9, France; CNRS, UPR 9056, Ctr Ecol Fonct &amp; Evolut, F-34293 Montpellier 5, France; Ecole Normale Super, Ecol Lab, F-75005 Paris, France</t>
  </si>
  <si>
    <t>Centre National de la Recherche Scientifique (CNRS); Universite PSL; Ecole Pratique des Hautes Etudes (EPHE); Institut Agro; Montpellier SupAgro; CIRAD; Centre National de la Recherche Scientifique (CNRS); Institut de Recherche pour le Developpement (IRD); Universite Paul-Valery; Universite de Montpellier; Universite PSL; Ecole Normale Superieure (ENS)</t>
  </si>
  <si>
    <t>Inchausti, P (corresponding author), Ecole Normale Super, Ecol Lab, 46 Rue Ulm, F-75005 Paris, France.</t>
  </si>
  <si>
    <t>Weimerskirch, Henri/K-7306-2019; Barbraud, Christophe/A-5870-2012; Weimerskirch, Henri/F-5562-2013; Guinet, Christophe/AAR-8457-2020</t>
  </si>
  <si>
    <t>10.1034/j.1600-048X.2003.03031.x</t>
  </si>
  <si>
    <t>WOS:000184105400009</t>
  </si>
  <si>
    <t>Polyakov, IV; Bekryaev, RV; Alekseev, GV; Bhatt, US; Colony, RL; Johnson, MA; Maskshtas, AP; Walsh, D</t>
  </si>
  <si>
    <t>Variability and trends of air temperature and pressure in the maritime Arctic, 1875-2000</t>
  </si>
  <si>
    <t>OCEAN-ATMOSPHERE MODEL; SEA-LEVEL PRESSURE; NORTHERN-HEMISPHERE; SURFACE-TEMPERATURE; INTERDECADAL VARIABILITY; GLOBAL CLIMATE; TIME-SERIES; 2 REGIMES; ICE COVER; CIRCULATION</t>
  </si>
  <si>
    <t>Arctic atmospheric variability during the industrial era ( 1875 - 2000) is assessed using spatially averaged surface air temperature ( SAT) and sea level pressure (SLP) records. Air temperature and pressure display strong multidecadal variability on timescales of 50 - 80 yr [ termed low-frequency oscillation (LFO)]. Associated with this variability, the Arctic SAT record shows two maxima: in the 1930s - 40s and in recent decades, with two colder periods in between. In contrast to the global and hemispheric temperature, the maritime Arctic temperature was higher in the late 1930s through the early 1940s than in the 1990s. Incomplete sampling of large-amplitude multidecadal fluctuations results in oscillatory Arctic SAT trends. For example, the Arctic SAT trend since 1875 is 0.09 +/- 0.03degreesC decade(-1), with stronger spring- and wintertime warming; during the twentieth century ( when positive and negative phases of the LFO nearly offset each other) the Arctic temperature increase is 0.05 +/- 0.04degreesC decade(-1), similar to the Northern Hemispheric trend ( 0.06degreesC decade(-1)). Thus, the large-amplitude multidecadal climate variability impacting the maritime Arctic may confound the detection of the true underlying climate trend over the past century. LFO-modulated trends for short records are not indicative of the long-term behavior of the Arctic climate system. The accelerated warming and a shift of the atmospheric pressure pattern from anticyclonic to cyclonic in recent decades can be attributed to a positive LFO phase. It is speculated that this LFO-driven shift was crucial to the recent reduction in Arctic ice cover. Joint examination of air temperature and pressure records suggests that peaks in temperature associated with the LFO follow pressure minima after 5 - 15 yr. Elucidating the mechanisms behind this relationship will be critical to understanding the complex nature of low-frequency variability.</t>
  </si>
  <si>
    <t>Univ Alaska Fairbanks, Int Arctic Res Ctr, Fairbanks, AK 99775 USA; Arctic &amp; Antarctic Res Inst, St Petersburg 199226, Russia; Univ Alaska Fairbanks, Inst Marine Sci, Fairbanks, AK USA</t>
  </si>
  <si>
    <t>University of Alaska System; University of Alaska Fairbanks; Arctic &amp; Antarctic Research Institute; University of Alaska System; University of Alaska Fairbanks</t>
  </si>
  <si>
    <t>Polyakov, IV (corresponding author), Univ Alaska Fairbanks, Int Arctic Res Ctr, POB 757335, Fairbanks, AK 99775 USA.</t>
  </si>
  <si>
    <t>Bhatt, Uma S/D-3674-2009</t>
  </si>
  <si>
    <t>Bhatt, Uma/0000-0003-1056-3686</t>
  </si>
  <si>
    <t>10.1175/1520-0442(2003)016&lt;2067:VATOAT&gt;2.0.CO;2</t>
  </si>
  <si>
    <t>688WK</t>
  </si>
  <si>
    <t>WOS:000183460100012</t>
  </si>
  <si>
    <t>Polyakov, IV; Alekseev, GV; Bekryaev, RV; Bhatt, US; Colony, R; Johnson, MA; Karklin, VP; Walsh, D; Yulin, AV</t>
  </si>
  <si>
    <t>Long-term ice variability in Arctic marginal seas</t>
  </si>
  <si>
    <t>ATMOSPHERIC CIRCULATION ANOMALIES; NORTHERN-HEMISPHERE; SURFACE-TEMPERATURE; AIR-TEMPERATURE; LEVEL PRESSURE; OCEAN; THICKNESS; CLIMATE; REGIMES; COVER</t>
  </si>
  <si>
    <t>Examination of records of fast ice thickness ( 1936 - 2000) and ice extent ( 1900 - 2000) in the Kara, Laptev, East Siberian, and Chukchi Seas provide evidence that long-term ice thickness and extent trends are small and generally not statistically significant, while trends for shorter records are not indicative of the long-termtendencies due to large-amplitude low-frequency variability. The ice variability in these seas is dominated by a multidecadal, low-frequency oscillation (LFO) and ( to a lesser degree) by higher-frequency decadal fluctuations. The LFO signal decays eastward from the Kara Sea where it is strongest. In the Chukchi Sea ice variability is dominated by decadal fluctuations, and there is no evidence of the LFO. This spatial pattern is consistent with the air temperature - North Atlantic Oscillation (NAO) index correlation pattern, with maximum correlation in the near-Atlantic region, which decays toward the North Pacific. Sensitivity analysis shows that dynamical forcing ( wind or surface currents) dominates ice-extent variations in the Laptev, East Siberian, and Chukchi Seas. Variability of Kara Sea ice extent is governed primarily by thermodynamic factors.</t>
  </si>
  <si>
    <t>Aleksandr, Yulin/Z-5911-2019; Bhatt, Uma S/D-3674-2009</t>
  </si>
  <si>
    <t>10.1175/1520-0442(2003)016&lt;2078:LIVIAM&gt;2.0.CO;2</t>
  </si>
  <si>
    <t>WOS:000183460100013</t>
  </si>
  <si>
    <t>Dighe, AS; Keil, MT; Raffelt, GG</t>
  </si>
  <si>
    <t>Detecting the neutrino mass hierarchy with a supernova at IceCube</t>
  </si>
  <si>
    <t>JOURNAL OF COSMOLOGY AND ASTROPARTICLE PHYSICS</t>
  </si>
  <si>
    <t>neutrino detectors; neutrino properties; supernova neutrinos</t>
  </si>
  <si>
    <t>IceCube, a future km(3) antarctic ice Cherenkov neutrino telescope, is highly sensitive to a galactic supernova (SN) neutrino burst. The Cherenkov light corresponding to the total energy deposited by the SN neutrinos in the ice can be measured relative to background fluctuations with a statistical precision much better than 1%. If the SN is viewed through the Earth, the matter effect on neutrino oscillations can change the signal by more than 5%, depending on the flavour-dependent source spectra and the neutrino mixing parameters. Therefore, IceCube together with another high-statistics experiment like Hyper-Kamiokande can detect the Earth effect, an observation that would identify specific neutrino mixing scenarios that are difficult to pin down with long-baseline experiments. In particular, the normal mass hierarchy can be clearly detected if the third mixing angle is not too small, sin(2)theta(13) greater than or similar to 10(-3). The small flavour-dependent differences of the SN neutrino fluxes and spectra that are found in state-of-the-art simulations suffice for this purpose. Although the absolute calibration uncertainty at IceCube may exceed 5%, the Earth effect would typically vary by a large amount over the duration of the SN signal, obviating the need for a precise calibration. Therefore, IceCube with its unique geographic location and expected longevity can play a decisive role as a 'co-detector' to measure SN neutrino oscillations. It is also a powerful stand-alone SN detector that can verify the delayed-explosion scenario.</t>
  </si>
  <si>
    <t>Max Planck Inst Phys &amp; Astrophys, Werner Heisenberg Inst, D-80805 Munich, Germany</t>
  </si>
  <si>
    <t>Max Planck Inst Phys &amp; Astrophys, Werner Heisenberg Inst, Fohringer Ring 6, D-80805 Munich, Germany.</t>
  </si>
  <si>
    <t>amol@mppmu.mpg.de; keil@mppmu.mpg.de; raffelt@mppmu.mpg.de</t>
  </si>
  <si>
    <t>Dighe, Amol S/GON-9847-2022</t>
  </si>
  <si>
    <t>Dighe, Amol/0000-0001-6639-0951</t>
  </si>
  <si>
    <t>IOP PUBLISHING LTD</t>
  </si>
  <si>
    <t>BRISTOL</t>
  </si>
  <si>
    <t>TEMPLE CIRCUS, TEMPLE WAY, BRISTOL BS1 6BE, ENGLAND</t>
  </si>
  <si>
    <t>1475-7516</t>
  </si>
  <si>
    <t>J COSMOL ASTROPART P</t>
  </si>
  <si>
    <t>J. Cosmol. Astropart. Phys.</t>
  </si>
  <si>
    <t>729EP</t>
  </si>
  <si>
    <t>WOS:000185759900005</t>
  </si>
  <si>
    <t>Magruder, LA; Schutz, BE; Silverberg, EC</t>
  </si>
  <si>
    <t>Laser pointing angle and time of measurement verification of the ICESat laser altimeter using a ground-based electro-optical detection system</t>
  </si>
  <si>
    <t>JOURNAL OF GEODESY</t>
  </si>
  <si>
    <t>ICESat; GLAS; calibration; altimetry; sensors</t>
  </si>
  <si>
    <t>The Ice, Cloud, and land Elevation Satellite (ICESat) will begin science operations in 2003 with an emphasis on determination of the ice sheet temporal variations in the Arctic and Antarctic regions. The ICESat bus will serve as the transport for an instrument called the Geoscience Laser Altimeter System (GLAS). GLAS will provide altimetry and lidar measurements with a high level of accuracy. For altimetry, the GLAS data will enable determination of the laser pointing angle to within 1.5 arcsec and the laser pulse time of arrival on the ground to within 100 sec. Both of these data products contribute to the determination of the measured altitude vector from the spacecraft to the ice surface. Verification of both the laser pointing angle and the timing can be achieved by using a unique experimental technique designed to 'capture' an altimeter pulse on the surface of the Earth. The capture of the laser pulse is accomplished by covering the illuminated area with devices designed to detect the arrival of energy within the altimeter footprint. This ground-based technique will supply an independent, unambiguous determination of the laser footprint geolocation and the epoch time associated with the arrival of the pulse on the surface. Knowledge of the laser footprint centroid on the ground will infer the laser pointing direction in the geocentric reference frame. This in situ measurement of the footprint geolocation and time of arrival will be compared to the corresponding data products provided by GLAS. The comparison of the GLAS laser pointing and the timing data with an independent measurement will verify the accuracy and/or will indicate the existence of any biases or errors in the generation of the GLAS altimetry data products. The detectors have been designed and tested in the laboratory and analyzed for energy level thresholds, system stability, temperature response and overall performance. Timing hardware has been tested and software has been written to achieve event detection within the desired accuracy.</t>
  </si>
  <si>
    <t>Univ Texas, Ctr Space Res, Austin, TX 78759 USA</t>
  </si>
  <si>
    <t>Univ Texas, Ctr Space Res, 3925 W Braker Lane,Suite 200, Austin, TX 78759 USA.</t>
  </si>
  <si>
    <t>magruder@csr.utexas.edu</t>
  </si>
  <si>
    <t>Magruder, Lori/AAA-1634-2022</t>
  </si>
  <si>
    <t>Magruder, Lori/0000-0001-7564-1193</t>
  </si>
  <si>
    <t>0949-7714</t>
  </si>
  <si>
    <t>1432-1394</t>
  </si>
  <si>
    <t>J GEODESY</t>
  </si>
  <si>
    <t>J. Geodesy</t>
  </si>
  <si>
    <t>10.1007/s00190-003-0319-4</t>
  </si>
  <si>
    <t>Geochemistry &amp; Geophysics; Remote Sensing</t>
  </si>
  <si>
    <t>704BW</t>
  </si>
  <si>
    <t>WOS:000184318700004</t>
  </si>
  <si>
    <t>Edwards, HGM; Newton, EM; Wynn-Williams, DD</t>
  </si>
  <si>
    <t>Molecular structural studies of lichen substances II: atranorin, gyrophoric acid, fumarprotocetraric acid, rhizocarpic acid, calycin, pulvinic dilactone and usnic acid</t>
  </si>
  <si>
    <t>JOURNAL OF MOLECULAR STRUCTURE</t>
  </si>
  <si>
    <t>26th European Congress on Molecular Spectroscopy</t>
  </si>
  <si>
    <t>SEP 01-06, 2002</t>
  </si>
  <si>
    <t>VILLENEUVE ASCQ, FRANCE</t>
  </si>
  <si>
    <t>Raman; infrared spectroscopy; lichens; Antarctica</t>
  </si>
  <si>
    <t>The FT-Raman and infrared vibrational spectra of some important lichen compounds from two metabolic pathways are characterised. Key biomolecular marker bands have been suggested for the spectroscopic identification of atranorin, gyrophoric acid, fumarprotocetraric acid rhizocarpic acid, calycin, pulvinic dilactone and usnic acid. A spectroscopic protocol has been defined for the detection of these molecules in organisms subjected to environmental stresses such as UV-radiation exposure, desiccation and low temperatures. Use of the protocol will be made for the assessment of survival strategies used by stress-tolerant lichens in Antarctic cold deserts. (C) 2003 Elsevier Science B.V. All rights reserved.</t>
  </si>
  <si>
    <t>0022-2860</t>
  </si>
  <si>
    <t>1872-8014</t>
  </si>
  <si>
    <t>J MOL STRUCT</t>
  </si>
  <si>
    <t>J. Mol. Struct.</t>
  </si>
  <si>
    <t>JUN 1</t>
  </si>
  <si>
    <t>PII S0022-2860(02)00626-9</t>
  </si>
  <si>
    <t>10.1016/S0022-2860(02)00626-9</t>
  </si>
  <si>
    <t>Chemistry, Physical</t>
  </si>
  <si>
    <t>688FU</t>
  </si>
  <si>
    <t>WOS:000183424200004</t>
  </si>
  <si>
    <t>Iken, KB; Baker, BJ</t>
  </si>
  <si>
    <t>Ainigmaptilones, sesquiterpenes from the Antarctic gorgonian coral Ainigmaptilon antarcticus</t>
  </si>
  <si>
    <t>JOURNAL OF NATURAL PRODUCTS</t>
  </si>
  <si>
    <t>ALCYONACEAN ALCYONIUM-CORALLOIDES</t>
  </si>
  <si>
    <t>Antarctic octocorals from the Weddell Sea of Western Antarctica appear to select either physical or chemical means of defense. Fractionation of the bioactive extract from the chemically defended Antarctic gorgonian coral Ainigmaptilon antarcticus yielded two sesquiterpenes, ainigmaptilones A (1) and B (2). Ainigmaptilone A has broad spectrum bioactivity toward sympatric predatory and fouling organisms, including antibiotic activity.</t>
  </si>
  <si>
    <t>Univ S Florida, Dept Chem, Tampa, FL 33620 USA; Alfred Wegener Inst Polar &amp; Marine Res, D-2850 Bremerhaven, Germany</t>
  </si>
  <si>
    <t>State University System of Florida; University of South Florida; Helmholtz Association; Alfred Wegener Institute, Helmholtz Centre for Polar &amp; Marine Research</t>
  </si>
  <si>
    <t>Univ S Florida, Dept Chem, 4202 E Fowler Ave SCA 400, Tampa, FL 33620 USA.</t>
  </si>
  <si>
    <t>0163-3864</t>
  </si>
  <si>
    <t>1520-6025</t>
  </si>
  <si>
    <t>J NAT PROD</t>
  </si>
  <si>
    <t>J. Nat. Prod.</t>
  </si>
  <si>
    <t>10.1021/np030051k</t>
  </si>
  <si>
    <t>Plant Sciences; Chemistry, Medicinal; Pharmacology &amp; Pharmacy</t>
  </si>
  <si>
    <t>Plant Sciences; Pharmacology &amp; Pharmacy</t>
  </si>
  <si>
    <t>695CY</t>
  </si>
  <si>
    <t>WOS:000183814600034</t>
  </si>
  <si>
    <t>Cunningham, L; Stark, JS; Snape, I; McMinn, A; Riddle, MJ</t>
  </si>
  <si>
    <t>Effects of metal and petroleum hydrocarbon contamination on benthic diatom communities near Casey Station, Antarctica: An experimental approach</t>
  </si>
  <si>
    <t>benthic diatoms; community composition; metal contamination; petroleum hydrocarbons; Casey Station; Antarctica</t>
  </si>
  <si>
    <t>CRUDE-OIL; MCMURDO-STATION; EAST ANTARCTICA; WATER-QUALITY; POLLUTION; MICROALGAE; SEDIMENTS; EUTROPHICATION; RESPONSES; GROWTH</t>
  </si>
  <si>
    <t>The effects of metals and petroleum hydrocarbons on benthic marine diatom communities were assessed using a manipulative field experiment at Casey Station, Antarctica. Uncontaminated, metal contaminated, and petroleum hydrocarbon contaminated sediments were deployed for 11 weeks during the 1999 austral summer. The treatments were deployed at three different locations: Brown Bay, which has elevated levels of anthropogenic contaminants, and two uncontaminated reference locations, O'Brien Bay and Sparkes Bay, the latter of which has naturally occurring high concentrations of some heavy metals. At each location, significant differences between the composition of diatom communities recruiting to control and petroleum hydrocarbon contaminated treatments were observed. Navicula directa (Smith) Ralfs occurred at lower abundances in the petroleum hydrocarbon contaminated treatments than in the control treatments. In contrast, Navicula cancellata Donkin occurred at higher relative abundances in both contaminated treatments relative to the control treatment. Interactions between treatment and location were also observed for several species, including Navicula glaciei Van Heurck. Significant differences in the overall community composition of diatom communities between control and metal contaminated treatments and metal contaminated and petroleum hydrocarbon contaminated treatments were only observed within Brown Bay. The location of deployment also had a significant influence on the composition of diatom communities. Brown Bay had higher abundances of Achnanthes brevipes Agardh but lower abundances of Navicula aff. cincta (Ehrenberg) Van Heurck than either reference locations. This experiment demonstrated that benthic diatom communities are sensitive to sediment contamination and would be suitable for future monitoring work within this and other areas of Antarctica.</t>
  </si>
  <si>
    <t>Univ Tasmania, Inst Antarctic &amp; So Ocean Studies, Hobart, Tas 7001, Australia; Australian Antarctic Div, Human Impacts Program, Kingston, Tas 7050, Australia</t>
  </si>
  <si>
    <t>McMinn, Andrew/A-9910-2008; Stark, Jonathan/ABF-4025-2020</t>
  </si>
  <si>
    <t>Stark, Jonathan/0000-0002-4268-8072; Cunningham, Laura Kay/0000-0001-6591-4610</t>
  </si>
  <si>
    <t>10.1046/j.1529-8817.2003.01251.x</t>
  </si>
  <si>
    <t>682BH</t>
  </si>
  <si>
    <t>WOS:000183070000003</t>
  </si>
  <si>
    <t>Gille, ST</t>
  </si>
  <si>
    <t>Float observations of the Southern Ocean. Part I: Estimating mean fields, bottom velocities, and topographic steering</t>
  </si>
  <si>
    <t>ANTARCTIC CIRCUMPOLAR CURRENT; MODEL; CIRCULATION; PACIFIC; TRANSPORT; FRONT; WATER; DEPTH</t>
  </si>
  <si>
    <t>Autonomous Lagrangian Circulation Explorer (ALACE) floats are used to examine mean flow and eddy fluxes at 900-m depth in the Southern Ocean. Mean temperature and dynamic topography from float data are consistent with earlier estimates from hydrographic surveys, although floats imply warmer temperatures and narrower frontal structures than do atlas data. Differences between hydrographic and ALACE dynamic topography suggest the presence of eastward bottom velocities of about 2 cm s(-1) below the eastward-flowing jets of the Antarctic Circumpolar Current. Flow is steered by bathymetry and can be represented as an equivalent barotropic system with an e-folding depth of about 700 m.</t>
  </si>
  <si>
    <t>Univ Calif San Diego, Scripps Inst Oceanog, La Jolla, CA 92093 USA; Univ Calif San Diego, Dept Mech &amp; Aerosp Engn, La Jolla, CA 92093 USA</t>
  </si>
  <si>
    <t>University of California System; University of California San Diego; Scripps Institution of Oceanography; University of California System; University of California San Diego</t>
  </si>
  <si>
    <t>Gille, ST (corresponding author), Univ Calif San Diego, Scripps Inst Oceanog, La Jolla, CA 92093 USA.</t>
  </si>
  <si>
    <t>Gille, Sarah T./B-3171-2012</t>
  </si>
  <si>
    <t>Gille, Sarah/0000-0001-9144-4368</t>
  </si>
  <si>
    <t>10.1175/1520-0485(2003)033&lt;1167:FOOTSO&gt;2.0.CO;2</t>
  </si>
  <si>
    <t>680EK</t>
  </si>
  <si>
    <t>WOS:000182963200002</t>
  </si>
  <si>
    <t>Float observations of the Southern Ocean. Part II: Eddy fluxes</t>
  </si>
  <si>
    <t>ANTARCTIC CIRCUMPOLAR CURRENT; GULF-STREAM; MEAN FLOW; HEAT-FLUX; TRANSPORT; ENERGY; VARIABILITY; CIRCULATION; VELOCITY; WATER</t>
  </si>
  <si>
    <t>Autonomous Lagrangian Circulation Explorer (ALACE) floats are used to examine eddy fluxes in the Southern Ocean. Eddy fluxes are calculated from differences between ALACE float data and mean fields derived from hydrographic atlas data or objectively mapped float observations. Heat fluxes indicate an average poleward eddy heat transport across the Antarctic Circumpolar Current (ACC) of about 3-7 kW m(-2) at 900-m depth. Because analysis of current meter data suggests that ALACE's 9-25-day averaging underestimates the total heat flux, the initial ALACE estimates are rescaled to account for this undersampling. This results in a total corrected heat flux of 5-10 kW m(-2) at 900 m, depending on the mean field used for the calculations. If the cross-ACC heat flux is assumed to vary exponentially through the water column with an e-folding depth of 1000 m, then the implied net poleward heat flux across the ACC is between 0.3 +/- 0.1 and 0.6 +/- 0.3 (X10(15) W). These estimates are in agreement with previous Southern Ocean eddy flux estimates, which have suggested a cross-ACC heat fluxes ranging between 0.05 and 0.9 (X10(15) W). Cross-stream fluxes vary geographically, with the largest fluxes occuring in the Indian Ocean sector, near the Agulhas Retroflection. Statistically significant poleward fluxes also occur along the core of the ACC. Along-stream fluxes are comparable in size to cross-stream fluxes. Momentum fluxes observed by ALACE are isotropic and do not indicate statistically significant eddy-mean flow interactions.</t>
  </si>
  <si>
    <t>Univ Calif San Diego, Scripps Inst Oceanog, La Jolla, CA 92093 USA; Univ Calif San Diego, Dept Aerosp &amp; Mech Engn, La Jolla, CA 92093 USA</t>
  </si>
  <si>
    <t>Univ Calif San Diego, Scripps Inst Oceanog, La Jolla, CA 92093 USA.</t>
  </si>
  <si>
    <t>sgille@ucsd.edu</t>
  </si>
  <si>
    <t>10.1175/1520-0485(2003)033&lt;1182:FOOTSO&gt;2.0.CO;2</t>
  </si>
  <si>
    <t>WOS:000182963200003</t>
  </si>
  <si>
    <t>Greatbatch, RJ; McDougall, TJ</t>
  </si>
  <si>
    <t>The non-Boussinesq temporal residual mean</t>
  </si>
  <si>
    <t>OCEAN CIRCULATION MODELS; STOCHASTIC-THEORY; TRACER TRANSPORTS; EQUATIONS; VELOCITY; MOMENTUM; FLUX; PARAMETERIZATIONS; OCEANOGRAPHY; SURFACES</t>
  </si>
  <si>
    <t>A method for modifying currently existing ocean models to make them non-Boussinesq has been advocated by McDougall, Greatbatch, and Lu and implemented in the Parallel Ocean Program model by Greatbatch et al. Here, theoretical justification is provided for combining the above modifications with the temporal residual mean (TRM) approach of McDougall and McIntosh. The TRM is a method for including the skew flux of tracers caused by the adiabatic stirring of mesoscale eddies in non-eddy-resolving ocean models. The paper provides the justification for simultaneously undertaking these two model improvements and the physical interpretation of the model variables in this situation.</t>
  </si>
  <si>
    <t>Dalhousie Univ, Dept Oceanog, Halifax, NS B3H 4J1, Canada; Univ Tasmania, Antarctic CRC, Hobart, Tas, Australia; CSIRO Marine Res, Hobart, Tas, Australia</t>
  </si>
  <si>
    <t>Dalhousie University; University of Tasmania; Commonwealth Scientific &amp; Industrial Research Organisation (CSIRO)</t>
  </si>
  <si>
    <t>Greatbatch, RJ (corresponding author), Dalhousie Univ, Dept Oceanog, Halifax, NS B3H 4J1, Canada.</t>
  </si>
  <si>
    <t>McDougall, Trevor J/A-6770-2013</t>
  </si>
  <si>
    <t>10.1175/1520-0485(2003)033&lt;1231:TNTRM&gt;2.0.CO;2</t>
  </si>
  <si>
    <t>WOS:000182963200006</t>
  </si>
  <si>
    <t>Bertilsson, S; Hansson, LA; Graneli, W; Philibert, A</t>
  </si>
  <si>
    <t>Size-selective predation on pelagic microorganisms in Arctic freshwaters</t>
  </si>
  <si>
    <t>SUB-ANTARCTIC LAKES; COMMUNITY STRUCTURE; BODY SIZE; FOOD WEBS; ZOOPLANKTON; PHYTOPLANKTON; EFFICIENCY; PLANKTON; ALGAE; FISH</t>
  </si>
  <si>
    <t>Herbivorous zooplankton may have a pronounced influence on pelagic microorganisms in Arctic freshwaters. We quantified experimentally the size-selective feeding of several zooplankton groups on pelagic microorganisms in high Arctic tundra systems. Our experiments and field study focused on dominant herbivores in Arctic freshwaters, including the cladoceran Dophnia, the copepod Diaptomus and the anostracan Branchinecta, and their effects on prey ranging in size from bacteria to large phytoplankton. Grazing experiments showed that Dophnia were effective predators on all types of prey, whereas Diaptomus grazed preferentially on larger phytoplankton with low clearance rates for bacterial cells. Further analysis by flow cytometry indicated that Diaptomus grazed selectively on the largest bacteria. In contrast to the results obtained in the controlled experiments, Arctic lakes and ponds with a zooplankton community dominated by Dophnia had a higher bacterial production and abundance than systems not dominated by this grazer. This may indicate that the stimulatory effect of grazers on bacterial growth is more pronounced in natural systems, or that factors other than zooplankton grazing are more important in regulating bacterial abundance and production in natural systems. Although Arctic waters differ considerably from temperate systems with respect to temperature and light regime, herbivore-prey dynamics as well as the bacterial response to temperature appear to be similar between the climatic regions.</t>
  </si>
  <si>
    <t>Uppsala Univ, Dept Evolut Biol Limnol, S-75236 Uppsala, Sweden; Lund Univ, Dept Ecol, S-22362 Lund, Sweden; Univ Quebec, Dept Sci Biol, Montreal, PQ H3B 3H5, Canada</t>
  </si>
  <si>
    <t>Uppsala University; Lund University; University of Quebec; University of Quebec Montreal</t>
  </si>
  <si>
    <t>Bertilsson, S (corresponding author), Uppsala Univ, Dept Evolut Biol Limnol, S-75236 Uppsala, Sweden.</t>
  </si>
  <si>
    <t>Hansson, Lars-Anders/HCI-2735-2022</t>
  </si>
  <si>
    <t>Hansson, Lars-Anders/0000-0002-3035-1317</t>
  </si>
  <si>
    <t>10.1093/plankt/25.6.621</t>
  </si>
  <si>
    <t>690MQ</t>
  </si>
  <si>
    <t>WOS:000183553300004</t>
  </si>
  <si>
    <t>Burrow, CJ; Janvier, P; Villarroel, C</t>
  </si>
  <si>
    <t>Late Devonian acanthodians from Colombia</t>
  </si>
  <si>
    <t>acanthodii; Cuche Formation; frasnian; Devonian; Colombia</t>
  </si>
  <si>
    <t>VERTEBRATES</t>
  </si>
  <si>
    <t>Acanthodian remains occur in micaceous siltstone lenses (presumed to have been deposited during a marine incursion) in the Cuche Formation (?Frasnian) of northeast Colombia. The acanthodians are represented by patches of scales from climatiidid Nostolepis sp. cf. N. gatijensis and a fin spine and scales from a new diplacanthid. Type material of N. gaujensis is from the Frasnian Sventoji regional stage in the Baltic, and Nostolepis sp. cf. N. gaujensis has been recorded in the Frasnian of Iran, as well as from Colombia. The new diplacanthid taxon shows affinity to Baltic and Antarctic diplacanthids. The fauna thus shows possible links to both Gondwanan and Euramerican acanthodian assemblages. (C) 2003 Elsevier Science Ltd. All rights reserved.</t>
  </si>
  <si>
    <t>Univ Queensland, Dept Zool &amp; Entomol, Brisbane, Qld 4072, Australia; Museum Natl Hist Nat, Lab Paleontol, CNRS, UMR 8569, F-75005 Paris, France; Nat Hist Museum, Dept Palaeontol, London SW7 5BD, England; Univ Nacl Colombia, Dept Geociencias, Bogota, Colombia</t>
  </si>
  <si>
    <t>University of Queensland; Centre National de la Recherche Scientifique (CNRS); Museum National d'Histoire Naturelle (MNHN); Natural History Museum London; Universidad Nacional de Colombia</t>
  </si>
  <si>
    <t>Burrow, CJ (corresponding author), Univ Queensland, Dept Zool &amp; Entomol, Brisbane, Qld 4072, Australia.</t>
  </si>
  <si>
    <t>Burrow, Carole J./AAG-4327-2021</t>
  </si>
  <si>
    <t>Burrow, Carole/0000-0002-1458-070X</t>
  </si>
  <si>
    <t>10.1016/S0895-9811(03)00026-9</t>
  </si>
  <si>
    <t>706XJ</t>
  </si>
  <si>
    <t>WOS:000184480100003</t>
  </si>
  <si>
    <t>Korb, R</t>
  </si>
  <si>
    <t>Lack of dietary specialization in adult Aplysia californica:: evidence from stable carbon isotope composition</t>
  </si>
  <si>
    <t>SEA HARE; MARINE; PLANTS; RATIOS; COOPER; C-13</t>
  </si>
  <si>
    <t>Natural abundance, C-13/C-12 ratios (delta(13)C) of Californian sea hares, Aplysia californica, (Gastropoda: Opisthobranchia) were measured for comparison with the animals preferred red algal diets, Plocamium cartilagineum and Laurencia pacifica. Isotopic compositions of animals collected from around Santa Catalina Island, did not reflect those of the favoured red algal diets, nor the majority of algal species found in the field. However, animals held in seawater tanks and fed diets with a constant carbon isotopic composition exhibited delta(13)C values similar to their food. Fast turnover tissue, such as the muscle tissue of actively growing juveniles or egg masses laid by adults, showed delta(13)C values within +/-2parts per thousand of the algal diet. Slow turnover tissue, such as the muscle tissue of large adults, reflected the diet over several months. Stable carbon isotope ratios thus proved a useful tool to clarify the extent to which specialized feeding in A. californica can occur upon algae which are only moderately to rarely common.</t>
  </si>
  <si>
    <t>Univ So Calif, Wrigley Inst Environm Studies, Santa Catalina Island, CA 90704 USA</t>
  </si>
  <si>
    <t>University of Southern California</t>
  </si>
  <si>
    <t>Korb, R (corresponding author), British Antarctic Survey, High Cross,Madingley Rd, Cambridge CB3 0ET, England.</t>
  </si>
  <si>
    <t>10.1017/S0025315403007422h</t>
  </si>
  <si>
    <t>679HR</t>
  </si>
  <si>
    <t>WOS:000182915100014</t>
  </si>
  <si>
    <t>Dietary variation of the squid Moroteuthis ingens at four sites in the Southern Ocean:: stomach contents, lipid and fatty acid profiles</t>
  </si>
  <si>
    <t>ILLEX-ARGENTINUS; NEW-ZEALAND; DIFFERENT TISSUES; MACQUARIE-ISLAND; DIGESTIVE GLAND; CEPHALOPODA; FOOD; MYCTOPHIDS; REGION; GROWTH</t>
  </si>
  <si>
    <t>Specimens of the onychoteuthid squid Moroteuthis ingens were collected from four sites in the Southern Ocean: Macquarie Island, the Falkland Islands, the Chatham Rise (New Zealand) and the Campbell Plateau (New Zealand). Spatial variations in diet among these areas were investigated using stomach contents and lipid and fatty acid profiles. Myctophid fish were prominent prey items at all sites, and the diet at New Zealand sites contained temperate myctophid species that were not identified at other sites. The diet at the Falkland Islands differed considerably from other sites due to the large proportion of cephalopod prey that had been consumed by M. ingens. This is likely to be due to the absence of key myctophids, such as Electrona carlsbergi, and the abundance of smaller squid such as Loligo gahi and juvenile M. ingens over the Patagonian Shelf. Stomach contents data could not be used effectively to determine dietary differences between the Chatham Rise and Campbell Plateau, largely due to differences in sample sizes between these sites. Lipid class and fatty acid profiles of the digestive gland indicated that the diet of M. ingens differed significantly between the Chatham Rise and Campbell Plateau, despite the relative proximity of these sites. We conclude from total lipid content that this was due to a reduction in food availability to M. ingens at the Campbell Plateau. The highly productive waters of the Subtropical Front pass over the Chatham Rise, whereas the Campbell Plateau is situated in less productive sub-Antarctic water. Differences in oceanographic conditions are likely to have driven dietary variations between these two sites.</t>
  </si>
  <si>
    <t>Univ Tasmania, Inst Antarctic &amp; So Ocean Studies, Hobart, Tas 7001, Australia; CSIRO Marine Res, Hobart, Tas 7001, Australia; Univ Tasmania, Antarctic CRC, Hobart, Tas 7001, Australia</t>
  </si>
  <si>
    <t>University of Tasmania; Commonwealth Scientific &amp; Industrial Research Organisation (CSIRO); University of Tasmania</t>
  </si>
  <si>
    <t>10.1017/S0025315403007446h</t>
  </si>
  <si>
    <t>WOS:000182915100016</t>
  </si>
  <si>
    <t>Verling, E; Crook, AC; Barnes, DKA; Harrison, SSC</t>
  </si>
  <si>
    <t>Structural dynamics of a sea-star (Marthasterias glacialis) population</t>
  </si>
  <si>
    <t>PARACENTROTUS-LIVIDUS LAMARCK; ASTERIAS-VULGARIS; FEEDING ECOLOGY; LOUGH INE; PREY; BEHAVIOR; RECRUITMENT; SELECTION; SEASTARS; PREDATOR</t>
  </si>
  <si>
    <t>The dynamics and feeding biology of a population of Marthasterias glacialis (Echinodermata: Asteroidea) was examined over a two-year period from 2000-2002 at Lough Hyne Marine Nature Reserve, Co. Cork, Ireland. A multivariate approach was used and both multiple factors and multiple interactions between factors were found to influence population structure. These included time of year, site, individual sea-star size, depth, and predator density. Individuals belonging to the smallest size-classes (0-50 mm and 51-100 mm) were most abundant amongst boulders in shallow water (0-1 m), while larger individuals were primarily found in water below 1 m in depth on finer grade substratum and shell debris. Dietary composition was also found to differ with depth; sea-stars in the immediate subtidal had an opportunistic diet, and fed on a variety of taxa, whilst those M. glacialis from 1-6 m were more selective and restrictive, feeding chiefly on bivalve prey. We propose that spatial partitioning of different size-classes and a generalist feeding strategy may account for the success of M. glacialis at Lough Hyne.</t>
  </si>
  <si>
    <t>Natl Univ Ireland Univ Coll Cork, Dept Zool &amp; Anim Ecol, Cork, Ireland; British Antarctic Survey, Div Biol Sci, Cambridge CB3 0ET, England</t>
  </si>
  <si>
    <t>University College Cork; UK Research &amp; Innovation (UKRI); Natural Environment Research Council (NERC); NERC British Antarctic Survey</t>
  </si>
  <si>
    <t>Verling, E (corresponding author), Smithsonian Environm Res Ctr, Marine Invas Res Lab, POB 28, Edgewater, MD 21037 USA.</t>
  </si>
  <si>
    <t>Langhamer, Olivia/J-3425-2012</t>
  </si>
  <si>
    <t>Verling, Emma/0000-0002-1019-5812</t>
  </si>
  <si>
    <t>10.1017/S0025315403007513h</t>
  </si>
  <si>
    <t>WOS:000182915100023</t>
  </si>
  <si>
    <t>Robison, BH</t>
  </si>
  <si>
    <t>What drives the diel vertical migrations of Antarctic midwater fish?</t>
  </si>
  <si>
    <t>EUPHAUSIA-SUPERBA; KRILL; SEA; ICE; MACROZOOPLANKTON; ZOOPLANKTON; MICRONEKTON; METABOLISM; COMMUNITY; WATERS</t>
  </si>
  <si>
    <t>Like their counterparts at lower latitudes, many Antarctic midwater fish make extensive, diel vertical migrations. However, Antarctic species make these migrations in the absence of two of the three selective advantages generally ascribed to this behaviour. Because the water column is nearly isothermal, there is no metabolic bonus to be gained from thermal differences in habitat depth. Likewise, because their prey do not perform significant vertical migrations, the fish migrations act to diminish rather than enhance their feeding opportunities. For Antarctic midwater fish, the sole advantage of these migrations appears to be the avoidance of visually-cued predators in the upper part of the water column. An evaluation of the relative importance of the three selective factors supports the suggestion that predator avoidance may also be the principal driver of diel vertical migrations for midwater fish at lower latitudes.</t>
  </si>
  <si>
    <t>Monterey Bay Aquarium Res Inst, Moss Landing, CA 95039 USA</t>
  </si>
  <si>
    <t>Monterey Bay Aquarium Research Institute</t>
  </si>
  <si>
    <t>Robison, BH (corresponding author), Monterey Bay Aquarium Res Inst, 7700 Sandholdt Rd, Moss Landing, CA 95039 USA.</t>
  </si>
  <si>
    <t>10.1017/S0025315403007586h</t>
  </si>
  <si>
    <t>WOS:000182915100030</t>
  </si>
  <si>
    <t>Wiggins, S</t>
  </si>
  <si>
    <t>Autonomous acoustic recording packages (ARPs) for long-term monitoring of whale sounds</t>
  </si>
  <si>
    <t>MARINE TECHNOLOGY SOCIETY JOURNAL</t>
  </si>
  <si>
    <t>BLUE WHALES; BERING-SEA; CALIFORNIA; PACIFIC</t>
  </si>
  <si>
    <t>Advancements in low-power and high-data capacity computer technology during the past decade have been adapted to autonomously record acoustic data from vocalizing whales over long time periods. Acoustic monitoring of whales has advantages over traditional visual surveys including greater detection ranges, continuous long-term monitoring in remote locations and in various weather conditions, and lower cost. An autonomous acoustic recording package (ARP) is described that uses a tethered hydrophone above a seafloor-mounted instrument frame. ARPs have been deployed to record baleen whale sounds in the Bering Sea, off the coast of southern California, near the West Antarctic Peninsula, and near Hawaii. ARP data have provided new information on the seasonal presence, abundance, call character, and patterns of vocalizing whales. Current development is underway for a broader-band, higher-data capacity system capable of recording odontocete whales, dolphins, and porpoises for long time periods.</t>
  </si>
  <si>
    <t>Univ Calif San Diego, Scripps Inst Oceanog, Marine Phys Lab, La Jolla, CA 92093 USA</t>
  </si>
  <si>
    <t>Univ Calif San Diego, Scripps Inst Oceanog, Marine Phys Lab, La Jolla, CA 92093 USA.</t>
  </si>
  <si>
    <t>MARINE TECHNOLOGY SOC INC</t>
  </si>
  <si>
    <t>COLUMBIA</t>
  </si>
  <si>
    <t>5565 STERRETT PLACE, STE 108, COLUMBIA, MD 21044 USA</t>
  </si>
  <si>
    <t>0025-3324</t>
  </si>
  <si>
    <t>1948-1209</t>
  </si>
  <si>
    <t>MAR TECHNOL SOC J</t>
  </si>
  <si>
    <t>Mar. Technol. Soc. J.</t>
  </si>
  <si>
    <t>SUM</t>
  </si>
  <si>
    <t>10.4031/002533203787537375</t>
  </si>
  <si>
    <t>Engineering, Ocean; Oceanography</t>
  </si>
  <si>
    <t>Engineering; Oceanography</t>
  </si>
  <si>
    <t>719HE</t>
  </si>
  <si>
    <t>WOS:000185196900002</t>
  </si>
  <si>
    <t>Casale, GR; Siani, AM; Lucarini, C; Catamo, M</t>
  </si>
  <si>
    <t>A simple device for the evaluation of the UV radiation index</t>
  </si>
  <si>
    <t>METEOROLOGICAL APPLICATIONS</t>
  </si>
  <si>
    <t>OZONE</t>
  </si>
  <si>
    <t>The solar ultraviolet radiation (UV) flux density at the earth's surface depends on the incoming solar energy and the transmission properties of the atmosphere. UV radiation is strongly absorbed by ozone in the spectral range 200-310 nm, while the attenuation is increasingly weaker at longer wavelengths. Following the discovery of the Antarctic ozone bole in 1985, the risk of a possible UV increase at ground level, due to the observed stratospheric ozone depletion, has heightened the interest within the scientific community given the potentially harmful effects on terrestrial and aquatic ecosystems. Spectroradiometers, broad-band meters and dosimeters may be used for measurements of solar UV. In addition, radiation transfer models can be used to quantify UV irradiances at various times and locations, provided that the extraterrestrial solar radiation and the state of the atmosphere are known. Information about UV radiation at the earth's surface is given by the ultraviolet index UVI', which is defined as the effective integrated irradiance (280-400 nm) weighted by the erythemal action spectrum. The UV Index is widely used by many international weather services as an indicator of UV levels at the earth's surface providing public awareness of the effects of prolonged exposure to the sun's rays. The aim of this paper is to present a device capable of estimating the UV Index. This device is a compact disc, used as a sundial, and is based on modelled UV irradiances derived from the STAR radiative transfer model (System for Transfer of Atmospheric Radiation). The device was tested in an urban setting under clear sky conditions.</t>
  </si>
  <si>
    <t>Univ Roma La Sapienza, Dept Phys, I-00185 Rome, Italy; Univ Roma La Sapienza, Dept Chem Studies &amp; Technol Biologically Act Subs, I-00185 Rome, Italy</t>
  </si>
  <si>
    <t>Sapienza University Rome; Sapienza University Rome</t>
  </si>
  <si>
    <t>Casale, GR (corresponding author), Univ Roma La Sapienza, Dept Phys, Ple A Moro 2, I-00185 Rome, Italy.</t>
  </si>
  <si>
    <t>Casale, Giuseppe/B-9276-2013; Siani, Alfonso/B-7925-2015; Iacoviello, Licia/K-4676-2016</t>
  </si>
  <si>
    <t>Casale, Giuseppe/0000-0001-8205-0551; Siani, Alfonso/0000-0002-9797-2943; Iacoviello, Licia/0000-0003-0514-5885; Siani, Anna Maria/0000-0001-7435-1426</t>
  </si>
  <si>
    <t>1350-4827</t>
  </si>
  <si>
    <t>METEOROL APPL</t>
  </si>
  <si>
    <t>Meteorol. Appl.</t>
  </si>
  <si>
    <t>10.1017/S1350482703002032</t>
  </si>
  <si>
    <t>708MQ</t>
  </si>
  <si>
    <t>WOS:000184571700003</t>
  </si>
  <si>
    <t>Nishimura, A</t>
  </si>
  <si>
    <t>The skeletal structure of Prunopyle antartica Dreyer (Radiolaria) in sediment samples from the Antarctic Ocean</t>
  </si>
  <si>
    <t>MICROPALEONTOLOGY</t>
  </si>
  <si>
    <t>The skeletal structure of Prunopyle antarctica Dreyer is examined and redescribed on the basis of new observations from sediment samples from the Antarctic Ocean. Various forms of the species are illustrated.</t>
  </si>
  <si>
    <t>Nishimura, A (corresponding author), 3212 Satoyamabe, Matsumoto, Nagano 3900221, Japan.</t>
  </si>
  <si>
    <t>MICROPALEONTOLOGY PRESS</t>
  </si>
  <si>
    <t>AMER MUSEUM NAT HISTORY 79TH ST AT CENTRAL PARK WEST, NEW YORK, NY 10024 USA</t>
  </si>
  <si>
    <t>0026-2803</t>
  </si>
  <si>
    <t>Micropaleontology</t>
  </si>
  <si>
    <t>10.2113/49.2.197</t>
  </si>
  <si>
    <t>697TX</t>
  </si>
  <si>
    <t>WOS:000183960300008</t>
  </si>
  <si>
    <t>Lee, MR; Bland, PA; Graham, G</t>
  </si>
  <si>
    <t>Preparation of TEM samples by focused ion beam (FIB) techniques: applications to the study of clays and phyllosilicates in meteorites</t>
  </si>
  <si>
    <t>MINERALOGICAL MAGAZINE</t>
  </si>
  <si>
    <t>focused ion beam; carbonaceous chondrite; TEM; cronstedtite; weathering</t>
  </si>
  <si>
    <t>WEATHERING PRODUCTS; ELECTRON-MICROSCOPY; MATRIX; MINERALS</t>
  </si>
  <si>
    <t>Transmission electron microscope samples were prepared of ALH 78045 and ALH 88045, two clay- and phyllosilicate-bearing Antarctic meteorites, using argon ion milling and focused ion beam (FIB) techniques. ALH 78045 contains clay- and phyllosilicate-filled veins that have formed by terrestrial weathering of olivine, orthopyroxene and metal. Very narrow (similar to10 nm) intragranular clay-filled veins could be observed in the TEM samples prepared by argon ion milling, whereas differential thinning and lack of precision in the location of the electron-transparent areas hindered the study of wider (5-15 mum) phyllosilicate-filled intergranular veins. Using the FIB instrument, electron-transparent slices were cut from specific parts of the wider veins and lifted out for TEM study. Results show that these veins are occluded by cronstedtite, a mixed-valence Fe-rich phyllosilicate. This discovery shows that silicates can be both dissolved and precipitated during terrestrial weathering within the Antarctic ice. ALH 88045 is one of a small number of known CM1 carbonaceous chondrites. This meteorite is largely composed of flattened ellipsoidal aggregates of serpentine-group phyllosilicates. To determine the mineralogy and texture of phyllosilicates within specific aggregates, TEM samples were prepared by trenching into the cut edge of a sample using the FIB instrument. Results show that Mg-rich aggregates are composed of lath-shaped serpentine crystals with a similar to0.73 nm basal spacing, which is typical of the products of low temperature aqueous alteration within asteroidal parent bodies. Results of this work demonstrate that the FIB has enormous potential in a number of areas of Earth and planetary science.</t>
  </si>
  <si>
    <t>Univ Glasgow, Div Earth Sci, Glasgow G12 8QQ, Lanark, Scotland; Open Univ, Planetary &amp; Space Sci Res Inst, Milton Keynes MK7 6AA, Bucks, England</t>
  </si>
  <si>
    <t>University of Glasgow; Open University - UK</t>
  </si>
  <si>
    <t>Univ Glasgow, Div Earth Sci, Lilybank Gardens, Glasgow G12 8QQ, Lanark, Scotland.</t>
  </si>
  <si>
    <t>leemarti@earthsci.gla.ac.uk</t>
  </si>
  <si>
    <t>Lee, Martin/Q-1040-2019; Bland, Phil/M-9392-2018</t>
  </si>
  <si>
    <t>Lee, Martin/0000-0002-6004-3622; Bland, Phil/0000-0002-4681-7898</t>
  </si>
  <si>
    <t>MINERALOGICAL SOC</t>
  </si>
  <si>
    <t>TWICKENHAM</t>
  </si>
  <si>
    <t>12 BAYLIS MEWS, AMYAND PARK ROAD,, TWICKENHAM TW1 3HQ, MIDDLESEX, ENGLAND</t>
  </si>
  <si>
    <t>0026-461X</t>
  </si>
  <si>
    <t>1471-8022</t>
  </si>
  <si>
    <t>MINERAL MAG</t>
  </si>
  <si>
    <t>Mineral. Mag.</t>
  </si>
  <si>
    <t>10.1180/0026461036730119</t>
  </si>
  <si>
    <t>Mineralogy</t>
  </si>
  <si>
    <t>699HH</t>
  </si>
  <si>
    <t>WOS:000184050600011</t>
  </si>
  <si>
    <t>Parish, TR; Cassano, JJ</t>
  </si>
  <si>
    <t>Diagnosis of the katabatic wind influence on the wintertime Antarctic surface wind field from numerical simulations</t>
  </si>
  <si>
    <t>MONTHLY WEATHER REVIEW</t>
  </si>
  <si>
    <t>BOUNDARY-LAYER; MODEL; REANALYSIS; CONTINENT; REGIME; FLOWS; LAND</t>
  </si>
  <si>
    <t>Katabatic winds have long been recognized as one of the key climatic variables of the low-level Antarctic environment. Antarctic surface winds display a high degree of persistence with mean directions related to the local topographic configuration of the ice sheet, consistent with katabatic forcing. Continental orography also constrains the atmospheric boundary layer motions through blocking and cold air damming. Finally, the coastal rim about the Antarctic continent is among the most active baroclinic zones on Earth. The establishment of the low-level wind field over Antarctica is thus potentially the result of a number of interacting processes. To quantify the forcing of the wintertime surface wind field over the Antarctic continent, two numerical strategies are presented. First, idealized numerical simulations are conducted to illustrate the strong orographic control of the low-level wind field. Second, a series of daily numerical simulations using the fifth-generation Pennsylvania State University National Center for Atmospheric Research Mesoscale Model (MM5) has been performed for the midwinter month July 2001. The horizontal pressure gradient as depicted in MM5 was added to the standard output and an analysis was conducted to understand the forcing of the low-level wind field. Horizontal pressure gradients at the lowest sigma level (6 m above the surface) revealed a net forcing primarily down the local topographic fall line. Analyses of the katabatic forcing showed that it was a significant component of the total horizontal pressure gradient force over the interior of the continent. Near the coast and extending several hundred kilometers inland, however, effects of the ambient pressure gradient force were typically comparable to the katabatic forcing and often considerably more important. This suggests that the role of topography in shaping the Antarctic boundary layer winds through blocking and subsequent adjustment is critical to the establishment of the low-level wintertime Antarctic wind field.</t>
  </si>
  <si>
    <t>Univ Wyoming, Dept Atmospher Sci, Laramie, WY 82071 USA; Univ Colorado, Cooperat Inst Res Environm Sci, Boulder, CO 80309 USA</t>
  </si>
  <si>
    <t>University of Wyoming; University of Colorado System; University of Colorado Boulder</t>
  </si>
  <si>
    <t>Parish, TR (corresponding author), Univ Wyoming, Dept Atmospher Sci, Laramie, WY 82071 USA.</t>
  </si>
  <si>
    <t>Cassano, John/HKW-8817-2023</t>
  </si>
  <si>
    <t>0027-0644</t>
  </si>
  <si>
    <t>MON WEATHER REV</t>
  </si>
  <si>
    <t>Mon. Weather Rev.</t>
  </si>
  <si>
    <t>10.1175/1520-0493(2003)131&lt;1128:DOTKWI&gt;2.0.CO;2</t>
  </si>
  <si>
    <t>674VC</t>
  </si>
  <si>
    <t>WOS:000182656700007</t>
  </si>
  <si>
    <t>Moro, I; Dalla Vecchia, F; La Rocca, N; Rascio, N; Andreoli, C</t>
  </si>
  <si>
    <t>Ultrastructural and cytochemical study of Plocamium cartilagineum (Plocamiales, Rhodophyta) from Ross Sea (Antarctica)</t>
  </si>
  <si>
    <t>NEW ZEALAND JOURNAL OF BOTANY</t>
  </si>
  <si>
    <t>Plocamium cartilagineum; Rhodophyta; Antarctica; ultrastructure; cytochemistry</t>
  </si>
  <si>
    <t>BENTHIC MARINE-ALGAE; PTEROCLADIA-CAPILLACEA GELIDIALES; MACROALGA PALMARIA-DECIPIENS; CELL-WALL ULTRASTRUCTURE; PIT PLUGS; RED ALGAE; VEGETATIVE THALLUS; HISTOCHEMICAL-LOCALIZATION; TEMPERATURE REQUIREMENTS; ELECTRON-MICROSCOPY</t>
  </si>
  <si>
    <t>Morphological, ultrastructural, and cytochemical characteristics of the red alga Plocamium cartilagineum from Antarctica have been studied and compared with those of the same species from the Mediterranean Sea. Distinct regions with possibly different functions were recognisable in the bushy thallus of Plocamium cartilagineum. Chloroplasts were concentrated in the outermost cell layer, while in the other cortex cells abundant floridean starch accumulated. No starch was found in the large medullary cells, characterised by the insertion in their walls of several large and lenticular pit connections devoid of plug caps and proteic in nature. Sulphated polysaccharides were distributed in the extracellular compartments of all the regions of the thallus, except in the surface layer. These acidic phycocolloids were particularly concentrated in the cell wall proper, which also exhibited a well organised fibrillar component probably consisting of cellulose. The distinctive feature of the Antarctic thalli, compared with the Mediterranean ones, was the lack, in the former, of recognisable phycobilisomes on the thylakoid surfaces. This peculiarity had already been noticed in the other Antarctic red alga Iridaea cordata, collected, like Plocamium cartilagineum, in summer and from ice free waters. The loss of phycobilisomes may be a defence mechanism activated by benthic shade-adapted red algae from Antarctica to protect the photosynthetic apparatus against damage from high light intensities.</t>
  </si>
  <si>
    <t>Univ Padua, Dipartimento Biol, I-35131 Padua, Italy</t>
  </si>
  <si>
    <t>Andreoli, C (corresponding author), Univ Padua, Dipartimento Biol, Via U Bassi 58-B, I-35131 Padua, Italy.</t>
  </si>
  <si>
    <t>labandr@civ.bio.unipd.it</t>
  </si>
  <si>
    <t>La Rocca, Nicoletta/AAA-2241-2021</t>
  </si>
  <si>
    <t>La Rocca, Nicoletta/0000-0003-4866-5952</t>
  </si>
  <si>
    <t>0028-825X</t>
  </si>
  <si>
    <t>1175-8643</t>
  </si>
  <si>
    <t>NEW ZEAL J BOT</t>
  </si>
  <si>
    <t>N. Z. J. Bot.</t>
  </si>
  <si>
    <t>10.1080/0028825X.2003.9512854</t>
  </si>
  <si>
    <t>712XG</t>
  </si>
  <si>
    <t>WOS:000184824300014</t>
  </si>
  <si>
    <t>Goring, DG; Pyne, A</t>
  </si>
  <si>
    <t>Observations of sea-level variability in Ross Sea, Antarctica</t>
  </si>
  <si>
    <t>NEW ZEALAND JOURNAL OF MARINE AND FRESHWATER RESEARCH</t>
  </si>
  <si>
    <t>tides; storm surge; inverted barometer; atmospheric tides</t>
  </si>
  <si>
    <t>OCEAN TIDES</t>
  </si>
  <si>
    <t>Data from a new sea-level recorder station at Scott Base on Ross Island and from a longestablished sea-level recorder at Cape Roberts are analysed for tides and storm surge. Tides are primarily diurnal and their amplitude reduces to almost zero every 13.66 days, corresponding to the Moon's crossing of the equator. Global tide models are shown to give a poor fit with observations in Ross Sea, and although a local tide model gives a better fit for phase, the amplitudes are still not accurate. The only atmospheric tide that is significant is the semidiurnal solar tide whose amplitude is much larger than empirical models predict. Storm surge can be largely explained by changes in atmospheric pressure. Significant storm surge events are infrequent compared to locations at lower latitudes.</t>
  </si>
  <si>
    <t>Natl Inst Water &amp; Atmospher Res Ltd, Christchurch, New Zealand; Victoria Univ Wellington, Antarctic Res Ctr, Wellington, New Zealand</t>
  </si>
  <si>
    <t>National Institute of Water &amp; Atmospheric Research (NIWA) - New Zealand; Victoria University Wellington</t>
  </si>
  <si>
    <t>Natl Inst Water &amp; Atmospher Res Ltd, POB 8602, Christchurch, New Zealand.</t>
  </si>
  <si>
    <t>d.goring@niwa.co.nz</t>
  </si>
  <si>
    <t>0028-8330</t>
  </si>
  <si>
    <t>1175-8805</t>
  </si>
  <si>
    <t>NEW ZEAL J MAR FRESH</t>
  </si>
  <si>
    <t>N. Z. J. Mar. Freshw. Res.</t>
  </si>
  <si>
    <t>10.1080/00288330.2003.9517162</t>
  </si>
  <si>
    <t>711XN</t>
  </si>
  <si>
    <t>WOS:000184766500003</t>
  </si>
  <si>
    <t>Delille, D</t>
  </si>
  <si>
    <t>Seasonal and inter-annual variability of bacterioplankton biomass at station Kerfix, off Kerguelen Islands, Antarctica</t>
  </si>
  <si>
    <t>OCEANOLOGICA ACTA</t>
  </si>
  <si>
    <t>Antarctic ocean; bacterial biomass; vertical distribution; seasonal changes; interannual variability</t>
  </si>
  <si>
    <t>PHYTOPLANKTON BIOMASS; MCMURDO-SOUND; SIGNY ISLAND; WEDDELL SEA; IN-SITU; BACTERIAL; CARBON; NEARSHORE; AREA; WATERS</t>
  </si>
  <si>
    <t>Between January 1992 and March 1995, the research project Kerfix undertook the first regular non-coastal multiyear acquisition of parameters related to the carbon cycle in the Southern Ocean at a time series station located at 50degrees40'S-68degrees25'E, 110 km southwest of the Kerguelen Islands. I present here a general overview of the bacteriological data collected during this survey. Bacterioplankton biomass at Kerfix station was always significantly lower than in the direct vicinity of the Kerguelen Islands. Bacterial abundance decreased from surface to deepest layers (from 10(6) cells ml(-1) in surface layer to 5.0 x 10(4) cells ml(-1) at 1500 m). In contrast, mean cell volume (0.1 mum(3)) and proportion of free-living bacteria (80%) were relatively constant through the entire water column. The results suggest that a relatively low seasonal and inter-annual variability affect the total bacterial abundance, the mean cell volume and the percentage of free-living cells. The bacterial biomass is at least equivalent to that of phytoplankton in the surface layers. If integrated over the whole water column it reaches values higher than I g C m(-2), which are higher than the corresponding values of phototrophic biomass. (C) 2003 tditions scientifiques et medicales Elsevier SAS and Ifremer/CNRS/IRD. All rights reserved.</t>
  </si>
  <si>
    <t>Univ Paris 06, Lab Arago, UMR CNRS 7621, F-66650 Banyuls sur Mer, France</t>
  </si>
  <si>
    <t>Univ Paris 06, Lab Arago, UMR CNRS 7621, F-66650 Banyuls sur Mer, France.</t>
  </si>
  <si>
    <t>daniel.delille@wanadoo.fr</t>
  </si>
  <si>
    <t>0399-1784</t>
  </si>
  <si>
    <t>OCEANOL ACTA</t>
  </si>
  <si>
    <t>Oceanol. Acta</t>
  </si>
  <si>
    <t>10.1016/S0399-1784(03)00031-8</t>
  </si>
  <si>
    <t>707EV</t>
  </si>
  <si>
    <t>WOS:000184497200002</t>
  </si>
  <si>
    <t>Hayward, SAL; Worland, MR; Convey, P; Bale, JS</t>
  </si>
  <si>
    <t>Temperature preferences of the mite, Alaskozetes antarcticus, and the collembolan, Cryptopygus antarcticus from the maritime Antarctic</t>
  </si>
  <si>
    <t>PHYSIOLOGICAL ENTOMOLOGY</t>
  </si>
  <si>
    <t>Antarctic; Collembola; microhabitat selection; mite; supercooling point; thermopreference</t>
  </si>
  <si>
    <t>COLD-HARDINESS; TERRESTRIAL ARTHROPODS; SIGNY ISLAND; WATER-LOSS; MICROARTHROPODS; SURVIVAL; ACCLIMATION; STRATEGIES; TOLERANCE; GROWTH</t>
  </si>
  <si>
    <t>The thermal preferences of Alaskozetes antarcticus (Acari, Cryptostigmata) and Cryptopygus antarcticus (Collembola, Isotomidae) were investigated over 6 h within a temperature gradient (-3 to +13 degreesC), under 100% relative humidity (RH) conditions. After 10 days of acclimation at -2 or +11 degreesC, individual supercooling points (SCP) and thermopreferences were assessed, and compared with animals maintained for 10 days under fluctuating field conditions (-6 to +7 degreesC). Acclimation at -2 degreesC lowered the mean SCP of both A. antarcticus (-24.2 +/- 9.1) and C. antarcticus (-14.7 +/- 7.7) compared to field samples (-19.0 +/- 9.0 and -10.7 +/- 5.2, respectively). Acclimation at +11 degreesC increased A. antarcticus mean SCP values (-13.0 +/- 8.5) relative to field samples, whereas those of C. antarcticus again decreased (-16.7 +/- 9.1). Mites acclimated under field conditions or at +11 degreesC selected temperatures between -3 and +1 degreesC. After acclimation at -2 degreesC, both species preferred +1 to +5 degreesC. Cryptopygus antarcticus maintained under field conditions preferred +5 to +9 degreesC, whereas individuals acclimated at +11 degreesC selected +9 to +13 degreesC. For A. antarcticus , thermopreference was not influenced by its cold hardened state. The distribution of field specimens was further assessed within two combined temperature and humidity gradient systems: (i) 0-3 degreesC/12% RH, 3-6 degreesC/33% RH, 6-9 degreesC/75% RH and 9-12 degreesC/100% RH and (ii) 0-3 degreesC/100% RH, 3-6 degreesC/75% RH, 6-9 degreesC/33% RH and 9-12 degreesC/12% RH. In gradient (i), C. antarcticus distributed homogeneously, but, in gradient (ii), C. antarcticus preferred 0-3 degreesC/100% RH. Alaskozetes antarcticus selected temperatures between 0 and +6 degreesC regardless of RH conditions. Cryptopygus antarcticus appears better able than A. antarcticus to opportunistically utilize developmentally favourable thermal microclimates, when moisture availability is not restricted. The distribution of A. antarcticus appears more influenced by temperature, especially during regular freeze-thaw transitions, when this species may select low temperature microhabitats to maintain a cold-hardened state.</t>
  </si>
  <si>
    <t>Univ Birmingham, Sch Biosci, Birmingham B15 2TT, W Midlands, England; British Antarctic Survey, NERC, Cambridge CB3 0ET, England</t>
  </si>
  <si>
    <t>University of Birmingham; UK Research &amp; Innovation (UKRI); Natural Environment Research Council (NERC); NERC British Antarctic Survey</t>
  </si>
  <si>
    <t>Hayward, SAL (corresponding author), Ohio State Univ, Dept Entomol, 1735 Neil Ave, Columbus, OH 43210 USA.</t>
  </si>
  <si>
    <t>Convey, Peter/AAV-5728-2020</t>
  </si>
  <si>
    <t>Convey, Peter/0000-0001-8497-9903; Hayward, Scott/0000-0002-1899-6630</t>
  </si>
  <si>
    <t>0307-6962</t>
  </si>
  <si>
    <t>PHYSIOL ENTOMOL</t>
  </si>
  <si>
    <t>Physiol. Entomol.</t>
  </si>
  <si>
    <t>10.1046/j.1365-3032.2003.00327.x</t>
  </si>
  <si>
    <t>Entomology</t>
  </si>
  <si>
    <t>686FM</t>
  </si>
  <si>
    <t>WOS:000183310800007</t>
  </si>
  <si>
    <t>Absher, TM; Boehs, G; Feijó, AR; da Cruz, AC</t>
  </si>
  <si>
    <t>Pelagic larvae of benthic gastropods from shallow Antarctic waters of Admiralty Bay, King George Island</t>
  </si>
  <si>
    <t>DISTRIBUTION PATTERNS; MARINE-INVERTEBRATES; MCMURDO SOUND; ZOOPLANKTON; REPRODUCTION; ABUNDANCE; SEA</t>
  </si>
  <si>
    <t>The occurrence, distribution and summer variation of pelagic larvae of benthic gastropods in the shallow coastal area of Admiralty Bay were determined for the summers of 1993/1994, 1994/1995 and 1996/1997 from plankton samples taken at 15- to 30-m depths in 12 stations. Significant differences were found among years at the end of January and February. Results of Principal Component Analysis showed the inverse relation of high wind speed and abundance of gastropod larvae in the three austral summers sampled, and suggested that environmental conditions prevalent during 1994/1995 and 1995/1997 were similar and differed from those of 1993/1994, which may have influenced the number of larvae observed.</t>
  </si>
  <si>
    <t>Univ Fed Parana, Ctr Estudos Mar, BR-83255000 Pontal Do Sul, Parana, Brazil</t>
  </si>
  <si>
    <t>Universidade Federal do Parana</t>
  </si>
  <si>
    <t>Absher, TM (corresponding author), Univ Fed Parana, Ctr Estudos Mar, Av Beira Mar S-N, BR-83255000 Pontal Do Sul, Parana, Brazil.</t>
  </si>
  <si>
    <t>Boehs, Guisla/K-7377-2012</t>
  </si>
  <si>
    <t>10.1007/s00300-003-0479-y</t>
  </si>
  <si>
    <t>696MD</t>
  </si>
  <si>
    <t>WOS:000183889900001</t>
  </si>
  <si>
    <t>Arnold, RJ; Convey, P; Hughes, KA; Wynn-Williams, DD</t>
  </si>
  <si>
    <t>Seasonal periodicity of physical factors, inorganic nutrients and microalgae in Antarctic fellfields</t>
  </si>
  <si>
    <t>SIGNY ISLAND; WATER; ALGAE; SOILS; LICHENS; GROWTH; PLANTS</t>
  </si>
  <si>
    <t>Over 15 months between January 1990 and March 1991, a range of physical, chemical and biological parameters was monitored regularly in fellfield soils of frost-sorted polygons at four sites on Signy Island (South Orkney Islands, maritime Antarctica). These included inorganic nutrients (orthophosphate, available nitrate and, over a more limited period, ammonia), chlorophyll a (as a proxy measure of microalgal biomass) and a range of potential cryoprotectant compounds. Transects across soil polygons revealed neither intrapolygon gradients in concentrations of inorganic nutrients or chlorophyll a nor significant interpolygon differences, in contrast with previous studies. Nitrate was present in much lower concentrations than phosphate, supporting evidence that it is a limiting nutrient in these fellfield ecosystems. Spring snowmelt, although a potential source of nutrient input, was not associated with increased concentrations of inorganic nutrients in the soil, probably through isolation of the soil from overlaying snow by a surface layer of ice. Soil micro-algae at the study sites must survive winter temperatures of at least -9degreesC, even when protected beneath up to 1 m of snow, and it has been proposed that they accumulate sugars and polyols as cryoprotectants. In support of this, concentrations of erythritol, glycerol, glucose, sucrose and trehalose in the soil (both absolute quantity and after correction for chlorophyll a concentration) increased as winter proceeded, suggesting that changes in sugar concentrations were due to accumulation within individual cells.</t>
  </si>
  <si>
    <t>Convey, P (corresponding author), British Antarctic Survey, NERC, High Cross,Madingley Rd, Cambridge CB3 0ET, England.</t>
  </si>
  <si>
    <t>Hughes, Kevin/JVZ-0793-2024; Convey, Peter/AAV-5728-2020</t>
  </si>
  <si>
    <t>Convey, Peter/0000-0001-8497-9903</t>
  </si>
  <si>
    <t>10.1007/s00300-003-0503-2</t>
  </si>
  <si>
    <t>WOS:000183889900007</t>
  </si>
  <si>
    <t>Herbert, NA; Macdonald, JA; Wells, RMG; Davison, W</t>
  </si>
  <si>
    <t>A difference in optomotor behaviour of two Antarctic nototheniid fishes is correlated with the presence of a choroid rete mirabile and Root effect</t>
  </si>
  <si>
    <t>PAGOTHENIA-BORCHGREVINKI; VISUAL PERFORMANCE; STRENUOUS EXERCISE; HEMOGLOBINS; TELEOST</t>
  </si>
  <si>
    <t>The hypothesis that fish vision is influenced by the presence of a choroid rete mirabile (an oxygen-concentrating apparatus in the eye) and the Root effect was tested using the optomotor response in two notothemid species from Antarctica. Pagothenia borchgrevinki, an active cryopelagic zooplanktivore, does not exhibit a major Root effect and the rete is absent. In contrast, the sluggish, benthic nototheniid, Trematomus bernacchii, possesses both a rete and a significant Root effect. Whole-eye ocular PO2 was higher in T. bernacchii (18.6 kPa) than in P. borchgrevinki (18.1 kPa) and the optomotor response of T. bernacchii was positively influenced by subtended angle on a moving background whereas P. borchgrevinki did not respond to any subtended angle (0-600 min of arc). The optomotor response of T. bernacchii may therefore have been facilitated by elevated ocular PO2 due to the presence of the choroid rete and the Root effect.</t>
  </si>
  <si>
    <t>Univ Canterbury, Dept Zool, Christchurch 1, New Zealand; Univ Auckland, Sch Biol Sci, Auckland 1, New Zealand</t>
  </si>
  <si>
    <t>University of Canterbury; University of Auckland</t>
  </si>
  <si>
    <t>Herbert, NA (corresponding author), Univ Copenhagen, Marine Biol Lab, Strandpromenaden 5, DK-3000 Helsingor, Denmark.</t>
  </si>
  <si>
    <t>10.1007/s00300-003-0498-8</t>
  </si>
  <si>
    <t>WOS:000183889900009</t>
  </si>
  <si>
    <t>Chiantore, MC; Cattaneo-Vietti, R; Heilmayer, O</t>
  </si>
  <si>
    <t>Antarctic scallop (Adamussium colbecki) annual growth rate at Terra Nova Bay</t>
  </si>
  <si>
    <t>ROSS SEA; MCMURDO SOUND; AGE; ECHINODERMATA</t>
  </si>
  <si>
    <t>Adamussium colbecki is one of the most well-studied Antarctic molluscs. However, information on its growth rate is currently based on estimates from mark and recapture experiments and from growth-ring analyses. This paper provides the first estimates of the growth pattern of this scallop throughout a year, for individuals maintained under both natural field and laboratory conditions. Results show size-related differences in growth rate, both in the field and in aquaria, with scallops in Terra Nova Bay growing faster than those kept in aquaria. Growth performances were lower than those reported in the literature.</t>
  </si>
  <si>
    <t>Univ Genoa, DIP TE RIS, I-16132 Genoa, Italy; Alfred Wegener Inst Polar &amp; Marine Res, D-2850 Bremerhaven, Germany</t>
  </si>
  <si>
    <t>University of Genoa; Helmholtz Association; Alfred Wegener Institute, Helmholtz Centre for Polar &amp; Marine Research</t>
  </si>
  <si>
    <t>Chiantore, MC (corresponding author), Univ Genoa, DIP TE RIS, Viale Benedetto XV 5, I-16132 Genoa, Italy.</t>
  </si>
  <si>
    <t>chiantor@dipteris.unige.it</t>
  </si>
  <si>
    <t>; Chiantore, Mariachiara/C-7070-2017</t>
  </si>
  <si>
    <t>Heilmayer, Olaf/0000-0003-1849-1381; Chiantore, Mariachiara/0000-0002-5862-1470</t>
  </si>
  <si>
    <t>10.1007/s00300-003-0491-2</t>
  </si>
  <si>
    <t>WOS:000183889900010</t>
  </si>
  <si>
    <t>Evans, DJA</t>
  </si>
  <si>
    <t>Glaciers</t>
  </si>
  <si>
    <t>PROGRESS IN PHYSICAL GEOGRAPHY-EARTH AND ENVIRONMENT</t>
  </si>
  <si>
    <t>IRISH SEA BASIN; NOVEMBER 1996 JOKULHLAUP; LAURENTIDE-ICE-SHEET; FENNOSCANDIAN GLACIATION; GLACIGENIC SEDIMENTS; ANTARCTIC PENINSULA; MORAINE DEVELOPMENT; CONDITIONS BENEATH; SOUTHEAST ALBERTA; SOUTHWEST ENGLAND</t>
  </si>
  <si>
    <t>Univ Glasgow, Dept Geog &amp; Topog Sci, Glasgow G12 8QQ, Lanark, Scotland</t>
  </si>
  <si>
    <t>University of Glasgow</t>
  </si>
  <si>
    <t>Evans, DJA (corresponding author), Univ Glasgow, Dept Geog &amp; Topog Sci, Glasgow G12 8QQ, Lanark, Scotland.</t>
  </si>
  <si>
    <t>0309-1333</t>
  </si>
  <si>
    <t>1477-0296</t>
  </si>
  <si>
    <t>PROG PHYS GEOG</t>
  </si>
  <si>
    <t>Prog. Phys. Geogr.</t>
  </si>
  <si>
    <t>10.1191/0309133303pp380pr</t>
  </si>
  <si>
    <t>683ME</t>
  </si>
  <si>
    <t>WOS:000183152700006</t>
  </si>
  <si>
    <t>Marret, F; Zonneveld, KAF</t>
  </si>
  <si>
    <t>Atlas of modern organic-walled dinoflagellate cyst distribution</t>
  </si>
  <si>
    <t>REVIEW OF PALAEOBOTANY AND PALYNOLOGY</t>
  </si>
  <si>
    <t>dinoflagellates; organic-walled cysts; geographic distribution; (palaeo-)ecology</t>
  </si>
  <si>
    <t>GYMNODINIUM-CATENATUM GRAHAM; UPPER QUATERNARY SEDIMENTS; NORTHWESTERN INDIAN-OCEAN; NORTHERN NORTH-ATLANTIC; RECENT MARINE-SEDIMENTS; SEA-SURFACE CONDITIONS; NEW-SOUTH-WALES; ARABIAN SEA; RESTING CYSTS; MICRORETICULATE CYST</t>
  </si>
  <si>
    <t>This Atlas summarises the global distribution of extant organic-walled dinoflagellate cysts in the form of 61 maps illustrated by the relative abundance of individual cyst taxa,in recent marine sediments from the Atlantic Ocean and adjacent basins, the Antarctic region (South Atlantic, southwestern, Pacific and southern Indian Ocean sections),. the Arabian Sea and the northwestern Pacific. This synthesis is based on the integration of literature sources together with data from 835 marine surface sediments prepared on a comparable methodology and taxonomy. The relationships between distribution patterns of cyst species and the surface-water parameters (temperature, salinity, phosphate and nitrate concentrations) are documented with graphs depicting the relative abundance of species in relation to seasonal and annual values of the above mentioned parameters at the sample sites. Two ordination techniques (detrended correspondence analysis and canonical correspondence analysis) have been carried out to statistically illustrate the relationships between species distribution and sea-surface conditions. Results have been compared with previously published records and an overview of the ecological significance of each individual species is presented. Characterisations of selected environments as well as a discussion about how additional processes such as preservation and transport could have affected the present dataset are included. This Atlas forms the basic printed version of an international database that will be freely available within the PANGAEA database: http:// www.pangaea.de and on the web site www.pangea.de/projects/dino-atlas. (C) 2003 Elsevier Science B.V. All rights reserved.</t>
  </si>
  <si>
    <t>Univ Bremen, Div Palaeontol, D-28334 Bremen, Germany; Univ Coll N Wales, Sch Ocean Sci, Menai Bridge LL59 5EY, Anglesey, Wales</t>
  </si>
  <si>
    <t>University of Bremen; Bangor University</t>
  </si>
  <si>
    <t>Univ Bremen, Div Palaeontol, FB 5-Geowissensch,Postfach 330440, D-28334 Bremen, Germany.</t>
  </si>
  <si>
    <t>f.marret@bangor.ac.uk; zonnev@uni-bremen.de</t>
  </si>
  <si>
    <t>Marret-Davies, Fabienne/0000-0003-4244-0437</t>
  </si>
  <si>
    <t>0034-6667</t>
  </si>
  <si>
    <t>1879-0615</t>
  </si>
  <si>
    <t>REV PALAEOBOT PALYNO</t>
  </si>
  <si>
    <t>Rev. Palaeobot. Palynology</t>
  </si>
  <si>
    <t>10.1016/S0034-6667(02)00229-4</t>
  </si>
  <si>
    <t>Plant Sciences; Paleontology</t>
  </si>
  <si>
    <t>689EL</t>
  </si>
  <si>
    <t>WOS:000183478600001</t>
  </si>
  <si>
    <t>Montone, RC; Taniguchi, S; Weber, RR</t>
  </si>
  <si>
    <t>PCBs in the atmosphere of King George Island, Antarctica</t>
  </si>
  <si>
    <t>PCBs; atmosphere; King George Island; Antarctica</t>
  </si>
  <si>
    <t>POLYCHLORINATED-BIPHENYLS; PESTICIDES</t>
  </si>
  <si>
    <t>Polychlorinated biphenyls (PCBs) are ubiquitous anthropogenic compounds found even in the polar regions, mainly due to long-range atmospheric transport. In order to assess the occurrence of atmospheric PCBs in the vicinity of the Brazilian Antarctic Research Station (62degrees05'S, 58degrees23'W), a sampling survey was undertaken in the austral summer of 1995-1996. The concentrations of the PCB congeners in the air ranged from not detected to 33.2 pg m(-3). The lower chlorinated congeners (PCB-101 and below), which are more volatile and subject to long-range transport, predominated in the air samples and represented 66.7% of the total PCB concentrations. Atmospheric levels of PCBs were correlated with meteorological conditions and the highest levels were associated with the passage of the frontal systems coming from South America. (C) 2002 Elsevier Science B.V. All rights reserved.</t>
  </si>
  <si>
    <t>Univ Sao Paulo, Inst Oceanog, BR-05508900 Sao Paulo, Brazil</t>
  </si>
  <si>
    <t>Montone, RC (corresponding author), Univ Sao Paulo, Inst Oceanog, Praca Oceanog,191,Cidade Univ, BR-05508900 Sao Paulo, Brazil.</t>
  </si>
  <si>
    <t>Montone, Rosalinda C/J-9110-2012; Taniguchi, Satie/D-2552-2013</t>
  </si>
  <si>
    <t>Taniguchi, Satie/0000-0002-6825-6390</t>
  </si>
  <si>
    <t>PII S0048-9697(02)00649-6</t>
  </si>
  <si>
    <t>10.1016/S0048-9697(02)00649-6</t>
  </si>
  <si>
    <t>681QW</t>
  </si>
  <si>
    <t>WOS:000183047700014</t>
  </si>
  <si>
    <t>Camus, L; Birkely, SR; Jones, MB; Borseth, JF; Grosvik, BE; Gulliksen, B; Lonne, OJ; Regoli, F; Depledge, MH</t>
  </si>
  <si>
    <t>Biomarker responses and PAH uptake in Mya truncata following exposure to oil-contaminated sediment in an Arctic fjord (Svalbard)</t>
  </si>
  <si>
    <t>biomarkers; bioaccumulation; PAH; sediment; Arctic; Mya truncata</t>
  </si>
  <si>
    <t>OXYRADICAL SCAVENGING CAPACITY; MUSSELS MYTILUS-GALLOPROVINCIALIS; POLYCYCLIC AROMATIC-HYDROCARBONS; OXIDATIVE STRESS; PHOTOCHEMICAL PRODUCTION; MEDITERRANEAN SCALLOPS; HYDROGEN-PEROXIDE; AQUATIC ORGANISMS; ANTARCTIC WATERS; LOW-TEMPERATURES</t>
  </si>
  <si>
    <t>Expanding industrial activity (notably oil and gas exploration) in the Arctic requires assessment of the potential impact of chemicals on marine organisms living in seawater at low temperature. The bivalve Mya truncata is common in Svalbard fjord (Norway) where it experiences low temperature throughout the year. To measure the impact of polycyclic aromatic hydrocarbons (PAH) on M. truncata, the responses of three biomarkers [total oxyradical scavenging capacity-assay (TOSC), plasma membrane stability of haemocytes and respiration rates] were investigated from bivalves exposed to sediment contaminated with a PAH mixture (crude oil). After two weeks of exposure to the contaminated sediment, TOSC showed no change. The high TOSC value (4010 +/- 1339 unit mg (-1) protein) of Mya truncata (control group) is thought to protect biomolecules with a low turnover rate efficiently in a low food availability environment. In the exposed bivalves, the haemocyte cellular membranes were significantly destabilised compared with controls (P &lt; 0.05). Respiration rate of control and PAH-exposed individuals (0.055 +/- 0.020 mg O-2 dw(-1) h(-1)) was similar and relatively low as is typical for polar bivalves, reflecting a strategy to minimise energy expenditure to cope with 9 months of starvation. Bioaccumulation of PAH by M. truncata was also low, due probably to a combination of low metabolic rate and reduced solubility of the oil compounds at low temperature. Data indicated an uptake of mainly low molecular weight compounds (two and three ring molecules). A good correlation of logBAF(lipid) (bioaccumulation factor) and logK(ow) (octanol/water partitioning coefficient) was shown (r(2) = 0.87). Tissue sensitivity and/or functional differences (digestive gland vs. haemocytes), PAH uptake route (dietary vs. gills), the low metabolic rate of M. truncata and the low environmental temperature (reducing the bioavailability of PAH) are factors that help explain these findings. (C) 2002 Elsevier Science B.V. All rights reserved.</t>
  </si>
  <si>
    <t>Akvamiljo As, N-4070 Randaberg, Norway; Univ Plymouth, Sch Biol Sci, Plymouth Environm Res Ctr, Plymouth PL4 8AA, Devon, England; Univ Courses Svalbard, N-9170 Longyearbyen, Norway; Univ Tromso, Norwegian Coll Fishery Sci, N-9037 Tromso, Norway; RF Rogaland Res, N-4004 Stavanger, Norway; Univ Ancona, Inst Biol &amp; Genet, I-60100 Ancona, Italy</t>
  </si>
  <si>
    <t>University of Plymouth; UiT The Arctic University of Tromso; Marche Polytechnic University</t>
  </si>
  <si>
    <t>Camus, L (corresponding author), Akvamiljo As, Mekjarvik 12, N-4070 Randaberg, Norway.</t>
  </si>
  <si>
    <t>Lønne, Ole Jørgen/E-3539-2013; Grosvik, Bjorn/HGC-4482-2022; Regoli, Francesco/K-2719-2018</t>
  </si>
  <si>
    <t>Grosvik, Bjorn/0000-0003-0794-2212; Regoli, Francesco/0000-0001-6084-6188; Depledge, Michael/0000-0002-7216-0439</t>
  </si>
  <si>
    <t>PII S0048-9697(02)00616-2</t>
  </si>
  <si>
    <t>10.1016/S0048-9697(02)00616-2</t>
  </si>
  <si>
    <t>WOS:000183047700019</t>
  </si>
  <si>
    <t>Guerra-García, JM</t>
  </si>
  <si>
    <t>The caprellidean Amphipoda from the subantarctic islands of New Zealand and Australia with the description of a new genus and two new species</t>
  </si>
  <si>
    <t>SCIENTIA MARINA</t>
  </si>
  <si>
    <t>Crustacea; Amphipoda; Caprellidea; Subantarctica; new taxa</t>
  </si>
  <si>
    <t>WATER GAMMARIDEAN AMPHIPODA; BENTHIC MACROINVERTEBRATES; CRUSTACEA; COAST</t>
  </si>
  <si>
    <t>The Caprellidea of The Snares, Antipodes Islands, Auckland Islands, Campbell Island and Macquarie Island are reported from collections made between 1973 and 1977 by the Australian Museum, and collections made between 1967 and 1972 by researchers associated with the United States Antarctic Program (USAP). One new genus, Caprellaporema, and two new species, Caprellaporema subantarctica and Pseudaeginella campbellensis are described, Caprella manneringi McCain, 1979 is redescribed, and lateral view figures of the remaining species of the subantarctic islands are also provided.</t>
  </si>
  <si>
    <t>Univ Seville, Fac Biol, Dept Fisiol &amp; Zool, Lab Biol Marina, E-41012 Seville, Spain</t>
  </si>
  <si>
    <t>University of Sevilla</t>
  </si>
  <si>
    <t>jmguerra@us.es</t>
  </si>
  <si>
    <t>Guerra-García, José Manuel/P-1700-2014</t>
  </si>
  <si>
    <t>Guerra-García, José Manuel/0000-0001-6050-4997; Guerra, Jose M/0000-0001-5397-9177</t>
  </si>
  <si>
    <t>CONSEJO SUPERIOR INVESTIGACIONES CIENTIFICAS-CSIC</t>
  </si>
  <si>
    <t>MADRID</t>
  </si>
  <si>
    <t>VITRUVIO 8, 28006 MADRID, SPAIN</t>
  </si>
  <si>
    <t>0214-8358</t>
  </si>
  <si>
    <t>1886-8134</t>
  </si>
  <si>
    <t>SCI MAR</t>
  </si>
  <si>
    <t>Sci. Mar.</t>
  </si>
  <si>
    <t>10.3989/scimar.2003.67n2177</t>
  </si>
  <si>
    <t>698FH</t>
  </si>
  <si>
    <t>gold, Green Published, Green Submitted</t>
  </si>
  <si>
    <t>WOS:000183987100006</t>
  </si>
  <si>
    <t>Diekmann, B; Fälker, M; Kuhn, G</t>
  </si>
  <si>
    <t>Environmental history of the south-eastern South Atlantic since the Middle Miocene:: evidence from the sedimentological records of ODP Sites 1088 and 1092</t>
  </si>
  <si>
    <t>SEDIMENTOLOGY</t>
  </si>
  <si>
    <t>biogenic bloom; Cainozoic; Circum-Antarctic Opal Belt; clay minerals; ocean circulation; Southern Ocean</t>
  </si>
  <si>
    <t>MATUYAMA DIATOM MAXIMUM; PLIOCENE BIOGENIC BLOOM; THERMOHALINE CIRCULATION; ANTARCTIC GLACIATION; OCEAN CIRCULATION; SURFACE SEDIMENTS; BENGUELA CURRENT; CLIMATE-CHANGE; INDIAN-OCEAN; SW AFRICA</t>
  </si>
  <si>
    <t>During Leg 177 of the Ocean Drilling Program (ODP), well-preserved Middle Miocene to Pleistocene carbonate-rich sediment records were recovered on a north-south transect through the south-eastern Atlantic sector of the Southern Ocean at Site 1088 on the Agulhas Ridge and Site 1092 on Meteor Rise. Both sites were dominated by the deposition of calcareous nannofossil oozes through the Miocene, indicating low biological productivity in warm to temperate surface waters. A continuous increase in the proportions of foraminifera since the latest Miocene (6.5 Ma) points to enhanced nutrient supply, possibly related to the global 'biogenic bloom' event across the Miocene-Pliocene boundary. Since the Late Pliocene, different styles of biological productivity developed between the sites. Enhanced deposition of biosiliceous constituents at the southern Site 1092, particularly in the Early Pleistocene, is consistent with the formation of the Circum-Antarctic Opal Belt since 2.5 Ma in a setting near the Polar Front, whereas carbonate deposition still prevailed at the northern Site 1088 situated near the Subtropical Front. Clay-mineral tracers of water-mass advection together with the pattern of sedimentation rates and hiatuses reflect distinct pulses in the development of regional ocean circulation between 14 and 12 Ma, around 8 Ma and since 2.8 Ma. These pulses can be related to Antarctic ice-sheet extension that mediates the production and flow of southern source water, and stepwise increases in North Atlantic Deep Water production that drives global conveyor circulation. At Site 1088, illite chemistry and silt/clay ratios of the terrigenous sediment fraction reflect the history of terrestrial climate in southern Africa, with humid conditions prior to the Early Late Miocene (9.7 Ma), followed by a dry episode until 7.7 Ma. The latest Miocene and Early Pliocene were characterized by a humid episode until modern aridity was established in the Late Pliocene between 4.0 and 2.8 Ma. These climate changes were related to the latitudinal migration of climate belts in response to tectonically caused reorganizations in atmospheric and ocean circulation.</t>
  </si>
  <si>
    <t>Alfred Wegener Inst Polar &amp; Marine Res, D-14473 Potsdam, Germany; Alfred Wegener Inst Polar &amp; Marine Res, D-27515 Bremerhaven, Germany</t>
  </si>
  <si>
    <t>Helmholtz Association; Alfred Wegener Institute, Helmholtz Centre for Polar &amp; Marine Research; Helmholtz Association; Alfred Wegener Institute, Helmholtz Centre for Polar &amp; Marine Research</t>
  </si>
  <si>
    <t>Diekmann, B (corresponding author), Alfred Wegener Inst Polar &amp; Marine Res, Telegrafenberg A43, D-14473 Potsdam, Germany.</t>
  </si>
  <si>
    <t>bdiekmann@awi-potsdam.de</t>
  </si>
  <si>
    <t>Kuhn, Gerhard/0000-0001-6069-7485; Diekmann, Bernhard/0000-0001-5129-3649</t>
  </si>
  <si>
    <t>0037-0746</t>
  </si>
  <si>
    <t>Sedimentology</t>
  </si>
  <si>
    <t>10.1046/j.1365-3091.2003.00562.x</t>
  </si>
  <si>
    <t>689WJ</t>
  </si>
  <si>
    <t>WOS:000183515700006</t>
  </si>
  <si>
    <t>Whitehead, JM; Harwood, DM; McMinn, A</t>
  </si>
  <si>
    <t>Ice-distal Upper Miocene marine strata from inland Antarctica</t>
  </si>
  <si>
    <t>Antarctic Ice Sheet; Battye Glacier Formation; diatoms; Miocene; Pagodroma Group; Prince Charles Mountains</t>
  </si>
  <si>
    <t>PLIOCENE SORSDAL FORMATION; EAST GREENLAND; VESTFOLD HILLS; SCORESBY-SUND; SIRIUS GROUP; TRANSANTARCTIC MOUNTAINS; AMERY OASIS; DRY VALLEYS; SHEET; SEA</t>
  </si>
  <si>
    <t>Glacimarine strata of the Battye Glacier Formation (approximate to 130 m thick), Pagodroma Group, exposed in the Amery Oasis of East Antarctica, provide a record of Late Miocene palaeoenvironmental conditions in an ice-distal setting. The formation overlies the Amery Erosion Surface (approximate to 300 m to approximate to 270 m above sea level) that formed during an advance of the Lambert Glacier into Prydz Bay (ODP Site 739), at least 750 km further north than today. Two lithological members: a grey and muddier Lower Member and a brown, sand-rich Upper Member, reflect variation in proximity to the terminus of the Lambert Glacier. Ice-distal, glacimarine, diatom-bearing mud (up to 12% biogenic silica) and in situ articulated molluscs occur in the Lower Member. The Battye Glacier Formation is significant because of its inland location, which indicates that ice-distal marine conditions existed 250 km inland from the current Amery Ice Shelf edge. Similar Neogene strata are known on land only from the Pliocene Sorsdal Formation in the Vestfold Hills, near the Antarctic coast. Three stratigraphic intervals of diatom-bearing mud are recognized from glacially reworked clasts and from in situ strata informally referred to as the McLeod Beds and 'Bed A'. The diatom-bearing mud also contains sponge spicules and minor silicoflagellates and ebridians. Marine diatom biostratigraphy constrains the age of the beds to between 10.7 and 9.0 Ma (late Miocene). Abundant benthic diatoms suggest deposition within shallow euphotic waters. The high abundance of intercalary valves of Eucampia antarctica from an interval of the McLeod Beds suggests that there was less winter sea-ice than in Prydz Bay today. It is unlikely that sea-ice was perennial because the presence of Thalassionema spp. and Stellarima stellaris (Roper) Hasle et Sims suggests that summer sea-surface temperatures were too warm (&gt; 0degreesC and &gt; 3degreesC respectively). The palaeoclimate at the time of deposition appears to have been analogous to that in modern fjords of East Greenland (e.g. Kangerdlugssuaq Fjord), which is consistent with the depositional model proposed previously for the Pagodroma Group. The three diatom-bearing mud intervals were deposited in the Amery Oasis, approximate to 250 km inland of the current Amery Ice Shelf edge, when the East Antarctic Ice Sheet was reduced in size relative to today.</t>
  </si>
  <si>
    <t>Univ Tasmania, Antarctic Cooperat Res Ctr, Hobart, Tas 7001, Australia; Univ Tasmania, Inst Antarctic &amp; So Ocean Studies, Hobart, Tas 7001, Australia; Univ Nebraska, Dept Geosci, Lincoln, NE 68588 USA</t>
  </si>
  <si>
    <t>University of Tasmania; University of Tasmania; University of Nebraska System; University of Nebraska Lincoln</t>
  </si>
  <si>
    <t>Univ Tasmania, Antarctic Cooperat Res Ctr, Box 252-80, Hobart, Tas 7001, Australia.</t>
  </si>
  <si>
    <t>jm_whitehead@hotmail.com</t>
  </si>
  <si>
    <t>McMinn, Andrew/A-9910-2008</t>
  </si>
  <si>
    <t>1365-3091</t>
  </si>
  <si>
    <t>10.1046/j.1365-3091.2003.00563.x</t>
  </si>
  <si>
    <t>WOS:000183515700007</t>
  </si>
  <si>
    <t>K-rich mantle metasomatism control of localization and initiation of lithospheric strike-slip faulting</t>
  </si>
  <si>
    <t>TERRA NOVA</t>
  </si>
  <si>
    <t>SHEAR-ZONE; GRANITE EMPLACEMENT; VOLCANIC-ROCKS; POLYGENETIC VOLCANISM; GEOCHEMICAL EVIDENCE; STRAIN-RATE; RIFT-ZONE; TECTONICS; TRANSTENSION; EXTENSION</t>
  </si>
  <si>
    <t>A conceptual model is proposed in which bulk transtension, or local transtension during bulk simple shear (resulting from mantle anisotropy contrasts or lithosphere rheology contrasts), of heterogeneously enriched lithospheric mantle, triggers localized K-rich magmatism, which focuses strain and causes nucleation of lithosphere-scale transtensional or strike-slip shear zones. Transtension-triggered magmatism is most likely to be located at sites of maximum metasomatism of the lithospheric mantle. Magma-generated fractures propagate upwards, nucleating zones of lithospheric weakness, which focus shear in narrow transcurrent faults or at basin margins. In this way, magmatism controls fault timing and location. Although volcanism will be coeval with fault development and volcanoes will appear fault-controlled, counterintuitively, our model suggests that faults are, in a sense, volcano-controlled. We suggest that this new transtension - K-rich magmatism - transcurrent faulting association represents a hitherto unrecognized genetic relationship as significant as, for example, the ocean island magma series.</t>
  </si>
  <si>
    <t>British Antarctic Survey, Cambridge CB3 0ET, England; Univ Granada, Dept Mineral &amp; Petrol, Granada 18002, Spain</t>
  </si>
  <si>
    <t>a.vaughan@bas.ac.uk</t>
  </si>
  <si>
    <t>0954-4879</t>
  </si>
  <si>
    <t>1365-3121</t>
  </si>
  <si>
    <t>Terr. Nova</t>
  </si>
  <si>
    <t>10.1046/j.1365-3121.2003.00485.x</t>
  </si>
  <si>
    <t>686YP</t>
  </si>
  <si>
    <t>WOS:000183348800004</t>
  </si>
  <si>
    <t>Brunelli, D; Cipriani, A; Ottolini, L; Peyve, A; Bonatti, E</t>
  </si>
  <si>
    <t>Mantle peridotites from the Bouvet Triple Junction Region, South Atlantic</t>
  </si>
  <si>
    <t>RIDGE; OCEAN; ELEMENTS; SPOTS</t>
  </si>
  <si>
    <t>The Bouvet Triple Junction (BTJ) region in the South Atlantic, where the African, South American and Antarctica plates meet, is affected by several topographic/melting anomalies. Causes of these anomalies were investigated through a study of mantle-derived serpentinized peridotites sampled from three sites in the BTJ region: (1) the Inner Corner High at the intersection of the America Antarctic Ridge (AAR) with the Conrad transform; (2) the south wall of the Bouvet transform (South West Indian Ridge, SWIR); and (3) the eastern Bouvet SWIR Transform Intersection. The degree of melting undergone by these rocks was estimated from relic mineral major- and trace-element composition. Geochemical profiles from residual peridotites and associated basalts show a &gt; 1000-km-wide melting anomaly centred on the Bouvet and Spiess topographic anomalies.</t>
  </si>
  <si>
    <t>CNR, Ist Geol Marina, ISMAR, I-40129 Bologna, Italy; CNR, Ist Geosci &amp; Georisorse, Sez Pavia, I-27100 Pavia, Italy; Russian Acad Sci, Inst Geol, Moscow V71, Russia; Columbia Univ, Lamont Doherty Earth Observ, New York, NY 10027 USA</t>
  </si>
  <si>
    <t>Consiglio Nazionale delle Ricerche (CNR); Istituto di Scienze Marine (ISMAR-CNR); Consiglio Nazionale delle Ricerche (CNR); Istituto di Geoscienze e Georisorse (IGG-CNR); Russian Academy of Sciences; Geological Institute, Russian Academy of Sciences; Columbia University</t>
  </si>
  <si>
    <t>Brunelli, D (corresponding author), CNR, Ist Geol Marina, ISMAR, Via Gobetti 101, I-40129 Bologna, Italy.</t>
  </si>
  <si>
    <t>Brunelli, Daniele/B-7893-2012; Brunelli, Daniele/AGI-3668-2022; Peyve, Alexander A/J-5724-2013; Cipriani, Anna/A-2797-2012</t>
  </si>
  <si>
    <t>Brunelli, Daniele/0000-0003-4839-1939; Bonatti, Enrico/0000-0001-6162-9572; Cipriani, Anna/0000-0001-8457-0147</t>
  </si>
  <si>
    <t>10.1046/j.1365-3121.2003.00482.x</t>
  </si>
  <si>
    <t>WOS:000183348800008</t>
  </si>
  <si>
    <t>Dowling, RK</t>
  </si>
  <si>
    <t>Tourism in the Antarctic: opportunities, constraints, and future prospects</t>
  </si>
  <si>
    <t>TOURISM MANAGEMENT</t>
  </si>
  <si>
    <t>Book Review</t>
  </si>
  <si>
    <t>Edith Cowan Univ, Sch Mkt Tourism &amp; Leisure, Joondalup, WA 6027, Australia</t>
  </si>
  <si>
    <t>Edith Cowan University</t>
  </si>
  <si>
    <t>Dowling, RK (corresponding author), Edith Cowan Univ, Sch Mkt Tourism &amp; Leisure, Joondalup, WA 6027, Australia.</t>
  </si>
  <si>
    <t>Dowling, Ross/IWE-2893-2023</t>
  </si>
  <si>
    <t>0261-5177</t>
  </si>
  <si>
    <t>TOURISM MANAGE</t>
  </si>
  <si>
    <t>Tourism Manage.</t>
  </si>
  <si>
    <t>PII S0261-5177(02)00077-8</t>
  </si>
  <si>
    <t>10.1016/S0261-5177(02)00077-8</t>
  </si>
  <si>
    <t>Environmental Studies; Hospitality, Leisure, Sport &amp; Tourism; Management</t>
  </si>
  <si>
    <t>Social Science Citation Index (SSCI)</t>
  </si>
  <si>
    <t>Environmental Sciences &amp; Ecology; Social Sciences - Other Topics; Business &amp; Economics</t>
  </si>
  <si>
    <t>691MA</t>
  </si>
  <si>
    <t>WOS:000183609000011</t>
  </si>
  <si>
    <t>Pütz, K; Clausen, AP; Huin, N; Croxall, JP</t>
  </si>
  <si>
    <t>Re-evaluation of historical Rockhopper Penguin population data in the Falkland Islands</t>
  </si>
  <si>
    <t>Rockhopper Penguins; Eudyptes chrysocome; Falkland Islands; population trend; breeding pair numbers; census; historical data</t>
  </si>
  <si>
    <t>SOUTHERN</t>
  </si>
  <si>
    <t>Over the past 70 years, three counts have been conducted on the Rockhopper Penguin (Eudyptes chrysocome) population on the Falkland Islands during the 1932/33, 1995/96 and 2000/01 breeding seasons. The results indicated a population decrease of more than 90% during this period, from more than three million breeding pairs in 1932/33 to less than 300,000 breeding pairs in the mid-1990s. However, a re-evaluation of these data revealed that the original population was substantially overestimated and the 1930s numbers were probably closer to 1.5 million breeding pairs. Modifications to the mid-1990s data produce a revised population estimate of about 263,000, rather than 297,000 breeding pairs. Based on these revised values, the overall decrease in the Rockhopper Penguin at the Falkland Islands between 1932 and 1995 still exceeded 80%, at a rate of ca. 2.75% per annum. In the most recent census, the population was estimated to be 272,000 breeding pairs, suggesting a stable population since the mid 1990s. These re-calculations of historical Rockhopper Penguin population trends in the Falkland Islands have important implications for the assessment of the global population size and long-term trends of this species.</t>
  </si>
  <si>
    <t>Antarctic Res Trust, Stanley, Falkland Island, England; Falklands Conservat, Stanley, Falkland Island, England; British Antarctic Survey, NERC, Cambridge CB3 0ET, England</t>
  </si>
  <si>
    <t>Pütz, K (corresponding author), Gottfried Keller Str 13, D-53757 St Augustin, Germany.</t>
  </si>
  <si>
    <t>10.1675/1524-4695(2003)026[0169:ROHRPP]2.0.CO;2</t>
  </si>
  <si>
    <t>688AE</t>
  </si>
  <si>
    <t>WOS:000183409300007</t>
  </si>
  <si>
    <t>King, JC</t>
  </si>
  <si>
    <t>Validation of ECMWF sea level pressure analyses over the Bellingshausen Sea, Antarctica</t>
  </si>
  <si>
    <t>WEATHER AND FORECASTING</t>
  </si>
  <si>
    <t>VARIABILITY; LATITUDES</t>
  </si>
  <si>
    <t>Surface pressure measurements from instruments deployed on ice floes in the southern Bellingshausen Sea were used to assess the accuracy of European Centre for Medium-Range Weather Forecasts (ECMWF) analyses in this region during February - May 2001. Despite the lack of in situ observations from this region, the analyses were found to be in very good agreement with the observed pressures and pressure gradients. The absolute difference between observed and analyzed pressures never exceeded 2.7 hPa over a pressure range of 965 - 1000 hPa. Standard deviations of the differences between observed and analyzed pressures were typically around 1 hPa. When additional in situ surface pressure observations from this region became available for use in the analyses, the agreement between analyzed and observed pressures improved only slightly. This suggests that atmospheric analyses are constrained well by satellite temperature soundings and other remotely sensed data in this region.</t>
  </si>
  <si>
    <t>King, JC (corresponding author), British Antarctic Survey, NERC, High Cross,Madingley Rd, Cambridge CB3 0ET, England.</t>
  </si>
  <si>
    <t>0882-8156</t>
  </si>
  <si>
    <t>WEATHER FORECAST</t>
  </si>
  <si>
    <t>Weather Forecast.</t>
  </si>
  <si>
    <t>10.1175/1520-0434(2003)18&lt;536:VOESLP&gt;2.0.CO;2</t>
  </si>
  <si>
    <t>692HH</t>
  </si>
  <si>
    <t>Green Accepted, Bronze</t>
  </si>
  <si>
    <t>WOS:000183655300010</t>
  </si>
  <si>
    <t>Cunningham, SA; Alderson, SG; King, BA; Brandon, MA</t>
  </si>
  <si>
    <t>Transport and variability of the Antarctic Circumpolar Current in Drake Passage</t>
  </si>
  <si>
    <t>Drake Passage; Antarctic Circumpolar Current; hydrography; acoustic Doppler current profiler; transport; ISOS</t>
  </si>
  <si>
    <t>VELOCITY</t>
  </si>
  <si>
    <t>[1] The baroclinic transport of the Antarctic Circumpolar Current (ACC) above 3000 m through Drake Passage is 107.3 +/- 10.4 Sv and has been steady between 1975 and 2000. For six hydrographic sections ( 1993 - 2000) along the World Ocean Circulation Experiment (WOCE) line SR1b, the baroclinic transport relative to the deepest common level is 136.7 +/- 7.8 Sv. The ACC transport is carried in two jets, the Subantarctic Front 53 +/- 10 Sv and the Polar Front (PF) 57.5 +/- 5.7 Sv. Southward of the ACC the Southern Antarctic Circumpolar Current transports 9.3 +/- 2.4 Sv. We observe the PF at two latitudes separated by 90 km. This bimodal distribution is related to changes in the circulation and properties of Antarctic Bottom Water. Three realizations of the instantaneous velocity field were obtained with lowered ADCPs. From these observations we obtain near-bottom reference velocities for transport calculations. Net transport due to these reference velocities ranges from -28 to 43 Sv, consistent with previous estimates of variability. The transport in density layers shows systematic variations due to seasonal heating in near-surface layers. Volume transport-weighted mean temperatures vary by 0.40degrees C from spring to summer; a seasonal variation in heat flux of about 0.22 PW. Finally, we review a series of papers from the International Southern Ocean Studies Program. The average yearlong absolute transport is 134 Sv, and the standard deviation of the average is 11.2 Sv; the error of the average transport is 15 to 27 Sv. We emphasize that baroclinic variability is an important contribution to net variability in the ACC.</t>
  </si>
  <si>
    <t>Southampton Oceanog Ctr, Southampton SO14 3ZH, Hants, England; British Antarctic Survey, Cambridge CB3 0ET, England</t>
  </si>
  <si>
    <t>NERC National Oceanography Centre; University of Southampton; UK Research &amp; Innovation (UKRI); Natural Environment Research Council (NERC); NERC British Antarctic Survey</t>
  </si>
  <si>
    <t>scu@soc.soton.ac.uk; sga@soc.soton.ac.uk; bak@soc.soton.ac.uk; M.A.Brandon@open.ac.uk</t>
  </si>
  <si>
    <t>MAY 31</t>
  </si>
  <si>
    <t>C5</t>
  </si>
  <si>
    <t>10.1029/2001JC001147</t>
  </si>
  <si>
    <t>686CU</t>
  </si>
  <si>
    <t>WOS:000183303600002</t>
  </si>
  <si>
    <t>Selbach, N; Hewison, TJ; Heygster, G; Miao, JG; McGrath, AJ; Taylor, JP</t>
  </si>
  <si>
    <t>Validation of total water vapor retrieval with an airborne millimeter wave radiometer over Arctic sea ice</t>
  </si>
  <si>
    <t>water vapor; microwave radiometry; remote sensing; polar atmosphere</t>
  </si>
  <si>
    <t>ATMOSPHERE; OCEAN</t>
  </si>
  <si>
    <t>[1] Measurements of the airborne SEPOR-POLEX campaign in the Arctic in March 2001 were used to validate a total water vapor (TWV) algorithm. This is a modified version of an algorithm developed by Miao et al. [ 2001] using SSM/T2 data in the Antarctic. Data from a passive microwave radiometer with channels at 157, 183 +/- 7, 183 +/- 3, and 183 +?- 1 GHz have been used. Dropsondes were launched from the aircraft during the flights to provide ground truth for the validation of the algorithm. The surface emissivity is assumed to be the same for the frequencies used. In general, there is a good agreement with TWV derived from dropsondes using the 183 GHz data only. This assumption leads to systematic errors in the estimation of TWV if the 157 GHz data are used in combination with measurements at 183 GHz. The high surface emissivity in regions of new ice is shown to lead to errors as a result of the strong influence of the surface. The difference in emissivity between 157 GHz and 183 GHz is larger over open water than over the sea ice, and therefore the error in TWV using the lower frequencies is larger in these regions.</t>
  </si>
  <si>
    <t>Univ Bremen, Inst Environm Phys, D-28334 Bremen, Germany; Met Off, Farnborough GU14 0LX, Hants, England</t>
  </si>
  <si>
    <t>University of Bremen; Met Office - UK</t>
  </si>
  <si>
    <t>Selbach, N (corresponding author), Univ Bremen, Inst Environm Phys, POB 330440, D-28334 Bremen, Germany.</t>
  </si>
  <si>
    <t>Heygster, Georg C./B-4928-2014; Taylor, Jonathan/B-3786-2013</t>
  </si>
  <si>
    <t>Heygster, Georg/0000-0003-2232-7429; Hewison, Tim/0000-0002-7845-5107; Taylor, Jonathan/0000-0002-2905-4657</t>
  </si>
  <si>
    <t>MAY 30</t>
  </si>
  <si>
    <t>10.1029/2002RS002669</t>
  </si>
  <si>
    <t>686DD</t>
  </si>
  <si>
    <t>WOS:000183304500002</t>
  </si>
  <si>
    <t>Meredith, MP; Watkins, JL; Murphy, EJ; Ward, P; Bone, DG; Thorpe, SE; Grant, SA; Ladkin, RS</t>
  </si>
  <si>
    <t>Southern ACC front to the northeast of South Georgia: Pathways, characteristics, and fluxes</t>
  </si>
  <si>
    <t>South Georgia; SACCF; fluxes; water masses; SST</t>
  </si>
  <si>
    <t>ANTARCTIC CIRCUMPOLAR CURRENT; SEA-SURFACE TEMPERATURE; SCOTIA SEA; WATER MASSES; POLAR FRONT; TRANSPORT; OCEAN; DEEP; VARIABILITY; CIRCULATION</t>
  </si>
  <si>
    <t>[1] In December 2000 we conducted high-resolution hydrographic and towed undulator transects across the South Georgia shelf and into the deep waters of the Georgia Basin. The Southern Antarctic Circumpolar Current Front (SACCF) was observed flowing northwestward close to the base of the slope at 53.7degreesS, with a second manifestation around 53.4degreesS having flow in the reverse direction. Both crossings had a significant barotropic component aligned with the flow. The region of the SACCF was characterized by large-scale undulations of properties on horizontal scales of 5 - 10 km, similar to the local internal Rossby radius. We observe a distinct surface temperature gradient associated with the SACCF in the vicinity of South Georgia and demonstrate the usefulness of this by tracing the course of the front around the island with advanced very high resolution radiometer data. A distinct northward deflection of the front to the north of South Georgia is probably due to topographic steering by the North Georgia Rise. The signature of the SACCF is pronounced in the Circumpolar Deep Water, with strong isopycnal interleaving indicative of cross-frontal mixing. The salinity of the Weddell Sea Deep Water is marginally higher between the two manifestations of the SACCF, reflecting the different pathways from its source regions in the Weddell Sea. Remarkably strong vertical gradients of potential temperature and salinity exist in the bottom 100 m of the water column ( at depths of around 3500 m) because of the vertical juxtaposition of waters that have taken different routes around the Northeast Georgia Rise.</t>
  </si>
  <si>
    <t>Bidston Observ, Proudman Oceanog Lab, Wirral CH43 7RA, Merseyside, England.</t>
  </si>
  <si>
    <t>mmm@pol.ac.uk</t>
  </si>
  <si>
    <t>murphy, eugene/GZL-1620-2022</t>
  </si>
  <si>
    <t>Meredith, Michael/0000-0002-7342-7756; Thorpe, Sally/0000-0002-5193-6955</t>
  </si>
  <si>
    <t>MAY 27</t>
  </si>
  <si>
    <t>10.1029/2001JC001227</t>
  </si>
  <si>
    <t>686CR</t>
  </si>
  <si>
    <t>WOS:000183303400002</t>
  </si>
  <si>
    <t>Wang, J; Ikeda, M; Saucier, FJ</t>
  </si>
  <si>
    <t>A theoretical, two-layer, reduced-gravity model for descending dense water flow on continental shelves/slopes</t>
  </si>
  <si>
    <t>Arctic halocline; dense water formation; reduced-gravity model; bottom Ekman layer; geostropic balance; cycloidal inertial oscillation</t>
  </si>
  <si>
    <t>ANTARCTIC BOTTOM WATER; LABRADOR SEA-WATER; ARCTIC-OCEAN; WEDDELL SEA; DEEP-WATER; STREAMTUBE MODEL; SCALE PROCESSES; BOUNDARY-LAYER; SHELF; CIRCULATION</t>
  </si>
  <si>
    <t>[ 1] A theoretical, two-layer, reduced-gravity model for descending dense water flow on continental shelves/slopes has been developed to investigate the dynamics of bottom dense water plumes. The model is nonsteady state and includes vertical viscosity, the Coriolis force, and bottom friction. An integral solution rather than a perfect analytical expression is derived and, thus, the Simpson's 1/3 rule to approximate the integral is applied. At the very bottom, the dense water plume moves about 45degrees to the right ( left) in the Northern ( Southern) Hemisphere, looking downslope. From the bottom, the velocity vector rotates anticyclonically upward, indicating a bottom Ekman spiral that mimics the atmospheric Ekman boundary layer. The dense water within the bottom Ekman layer obeys a three-force balance, while the dense water above the bottom Ekman layer is governed by a two-force balance, which is a geostrophic flow with superimposed cycloidal inertial oscillations oriented from about 25degrees to 140degrees to the right (left) of the downslope direction in the Northern ( Southern) Hemisphere. The transport within the bottom Ekman layer is directed about 60 - 70degrees to the right (left) of the downslope direction in the Northern ( Southern) Hemisphere, forming an offshore (cross-isobath) transport in the absence of eddy flux and wind-forcing. The ratio of offshore transport to alongshore transport within the bottom Ekman layer is about 0.19 (19%), while the ratio above the bottom Ekman layer (i.e., geostrophic layer of the dense water) is only 3% ( negligible compared to its alongshore transport), which, however, is equivalent in magnitude to its counterpart in the bottom Ekman layer if O(D-E/h) similar to0.1 (where D-E is the bottom Ekman layer thickness and h is the dense water layer thickness). In other words, the bottom Ekman layer and the geostrophic ( dense) layer contribute equivalent dense water offshore ( each contributes 50%). The magnitude of the descending dense water velocity depends linearly on reduced gravity and sin(theta) ( slope angle).</t>
  </si>
  <si>
    <t>Univ Alaska Fairbanks, Int Arctic Res Ctr Frontier Res Syst Global Chang, Fairbanks, AK 99775 USA; Hokkaido Univ, Grad Sch Environm Earth Sci, Sapporo, Hokkaido 060, Japan; Fisheries &amp; Oceans Canada, Maurice Lamontagne Inst, Mont Joli, PQ G5H 3Z4, Canada</t>
  </si>
  <si>
    <t>University of Alaska System; University of Alaska Fairbanks; Hokkaido University; Fisheries &amp; Oceans Canada</t>
  </si>
  <si>
    <t>Univ Alaska Fairbanks, Int Arctic Res Ctr Frontier Res Syst Global Chang, Fairbanks, AK 99775 USA.</t>
  </si>
  <si>
    <t>jwang@iarc.uaf.edu; mikeda@ees.hokudai.ac.jp; saucierf@mpo-dfo.gc.ca</t>
  </si>
  <si>
    <t>10.1029/2000JC000517</t>
  </si>
  <si>
    <t>WOS:000183303400001</t>
  </si>
  <si>
    <t>Horne, RB; Thorne, RM</t>
  </si>
  <si>
    <t>Relativistic electron acceleration and precipitation during resonant interactions with whistler-mode chorus</t>
  </si>
  <si>
    <t>EARTHS INNER MAGNETOSPHERE; RADIATION BELT ELECTRONS; DIFFUSION; PLASMASPHERE; SCATTERING; ENERGIES; WAVES</t>
  </si>
  <si>
    <t>[1] Resonant interactions with whistler-mode chorus waves provide an important process for electron loss and acceleration during storm times. We demonstrate that wave propagation significantly affects the electron scattering rates. We show that stormtime chorus waves outside the plasmapause can scatter equatorial electrons less than or equal to60 keV into the loss cone and accelerate trapped electrons up to similar to MeV energies at large pitch-angles. Using ray tracing to map the waves to higher latitudes, we show that the decrease in the ratio between the electron plasma and gyro frequencies, along with the normalized chorus frequency bandwidth, enable much higher energy electrons similar to1 MeV to be scattered into the loss cone. We suggest that off equatorial pitch-angle scattering by chorus waves is responsible for relativistic micro-burst precipitation seen on SAMPEX. Off-equatorial scattering at pitch-angles well away from the loss cone also contributes to the acceleration of higher energy greater than or equal to3 MeV electrons.</t>
  </si>
  <si>
    <t>British Antarctic Survey, Cambridge CB3 0ET, England; Univ Calif Los Angeles, Dept Atmospher Sci, Los Angeles, CA 90095 USA</t>
  </si>
  <si>
    <t>UK Research &amp; Innovation (UKRI); Natural Environment Research Council (NERC); NERC British Antarctic Survey; University of California System; University of California Los Angeles</t>
  </si>
  <si>
    <t>r.horne@bas.ac.uk; rmt@atmos.ucla.edu</t>
  </si>
  <si>
    <t>Horne, Richard B/U-3764-2019</t>
  </si>
  <si>
    <t>Horne, Richard B/0000-0002-0412-6407</t>
  </si>
  <si>
    <t>MAY 24</t>
  </si>
  <si>
    <t>10.1029/2003GL016973</t>
  </si>
  <si>
    <t>683YC</t>
  </si>
  <si>
    <t>WOS:000183177800001</t>
  </si>
  <si>
    <t>Tendeng, C; Krin, E; Soutourina, OA; Marin, A; Danchin, A; Bertin, PN</t>
  </si>
  <si>
    <t>A novel H-NS-like protein from an antarctic psychrophilic bacterium reveals a crucial role for the N-terminal domain in thermal stability</t>
  </si>
  <si>
    <t>CHROMATIN-STRUCTURING PROTEIN; NUCLEOID-ASSOCIATED PROTEIN; ESCHERICHIA-COLI; GENOME SEQUENCE; DNA; ENZYMES; BINDING; SHOCK; OLIGOMERIZATION; IDENTIFICATION</t>
  </si>
  <si>
    <t>We describe here new members of the H-NS protein family identified in a psychrotrophic Acinetobacter spp. bacterium collected in Siberia and in a psychrophilic Psychrobacter spp. bacterium collected in Antarctica. Both are phylogenetically closely related to the HvrA and SPB Rhodobacter transcriptional regulators. Their amino acid sequence shares 40% identity, and their predicted secondary structure displays a structural and functional organization in two modules similar to that of H-NS in Escherichia coli. Remarkably, the Acinetobacter protein fully restores to the wild-type H-NS-dependent phenotypes, whereas the Psychrobacter protein is no longer able to reverse the effects of H-NS deficiency in an E. coli mutant strain above 30 degreesC. Moreover, in vitro experiments demonstrate that the ability of the Psychrobacter H-NS protein to bind curved DNA and to form dimers is altered at 37 degreesC. The construction of hybrid proteins containing the N- or the C-terminal part of E. coli H-NS fused to the C- or N- terminal part of the Psychrobacter protein demonstrates the role of the N-terminal domain in this process. Finally, circular dichroism analysis of purified H-NS proteins suggests that, as compared with the E. coli and Acinetobacter proteins, the alpha-helical domain displays weaker intermolecular interactions in the Psychrobacter protein, which may account for the low thermal stability observed at 37 degreesC.</t>
  </si>
  <si>
    <t>Inst Pasteur, Unite Genet Genomes Bacteriens, F-75724 Paris 15, France; Ecole Polytech, Biochim Lab, F-91128 Palaiseau, France; Univ Paris 06, Atelier Bioinformat, F-75005 Paris, France; HKU Pasteur Res Ctr, Pokfulam, Hong Kong, Peoples R China; Univ Strasbourg, CNRS, FRE 2326, Lab Dynam Evolut &amp; Express Genomes Microorganisme, F-67083 Strasbourg, France</t>
  </si>
  <si>
    <t>Le Reseau International des Instituts Pasteur (RIIP); Universite Paris Cite; Institut Pasteur Paris; Institut Polytechnique de Paris; Sorbonne Universite; University of Hong Kong; Centre National de la Recherche Scientifique (CNRS); Universites de Strasbourg Etablissements Associes; Universite de Strasbourg</t>
  </si>
  <si>
    <t>Univ Strasbourg, Lab Dynam Evolut &amp; Express Genomes Microorganisme, 28 Rue Goethe, F-67000 Strasbourg, France.</t>
  </si>
  <si>
    <t>bertin@gem.u-strasbg.fr</t>
  </si>
  <si>
    <t>Soutourina, Olga/F-2042-2015</t>
  </si>
  <si>
    <t>Danchin, Antoine/0000-0002-6350-5001; Philippe, Bertin/0000-0003-1158-6396; Soutourina, Olga/0000-0001-6439-7228</t>
  </si>
  <si>
    <t>ROCKVILLE</t>
  </si>
  <si>
    <t>11200 ROCKVILLE PIKE, SUITE 302, ROCKVILLE, MD, UNITED STATES</t>
  </si>
  <si>
    <t>1083-351X</t>
  </si>
  <si>
    <t>MAY 23</t>
  </si>
  <si>
    <t>10.1074/jbc.M211766200</t>
  </si>
  <si>
    <t>679PY</t>
  </si>
  <si>
    <t>WOS:000182932200008</t>
  </si>
  <si>
    <t>Arrigo, KR; Lubin, D; van Dijken, GL; Holm-Hansen, O; Morrow, E</t>
  </si>
  <si>
    <t>Impact of a deep ozone hole on Southern Ocean primary production</t>
  </si>
  <si>
    <t>ozone; UV-inhibition; Antarctic; phytoplankton production; modeling remote sensing</t>
  </si>
  <si>
    <t>DELTA-EDDINGTON APPROXIMATION; ULTRAVIOLET-RADIATION LEVELS; ANTARCTIC PHYTOPLANKTON; BIOOPTICAL PROPERTIES; EARTHS SURFACE; UV INHIBITION; SEA-ICE; PHOTOSYNTHESIS; DEPLETION; STATION</t>
  </si>
  <si>
    <t>[1] Field studies show that photosynthesis by Antarctic phytoplankton is inhibited by the increased ultraviolet radiation (UVR) resulting from springtime stratospheric ozone (O-3) depletion. To extend previous observations, a numerical model utilizing satellite-derived distributions of O-3, clouds, sea ice, surface temperature, and phytoplankton biomass was developed to study the hemispheric-scale seasonal effects of a deep Antarctic O-3 hole on primary production in the Southern Ocean. UVR-induced losses of surface phytoplankton production were substantial under all O-3 conditions, mostly due to UVA. However, when integrated to the 0.1% light depth, the loss of primary production resulting from enhanced fluxes of UVB due to O-3 depletion was &lt;0.25%. The loss of primary production is minimized by the strong attenuation of UVR within the water column and by sea ice which is at its peak extent at the time of the most severe O-3 depletion.</t>
  </si>
  <si>
    <t>Stanford Univ, Dept Geophys, Stanford, CA 94305 USA; Univ Calif San Diego, Scripps Inst Oceanog, Calif Space Inst, La Jolla, CA 92093 USA; Univ Calif San Diego, Scripps Inst Oceanog, Div Marine Res, La Jolla, CA 92093 USA</t>
  </si>
  <si>
    <t>Stanford University; University of California System; University of California San Diego; Scripps Institution of Oceanography; University of California System; University of California San Diego; Scripps Institution of Oceanography</t>
  </si>
  <si>
    <t>Stanford Univ, Dept Geophys, Stanford, CA 94305 USA.</t>
  </si>
  <si>
    <t>arrigo@stanford.edu; dublin@ucsd.edu; gertvd@pangen.stanford.edu; oholmhansen@ucsd.edu; emorrow@arcane.ucsd.edu</t>
  </si>
  <si>
    <t>Van Dijken, Gert/0000-0002-9587-6317; Arrigo, Kevin/0000-0002-7364-876X</t>
  </si>
  <si>
    <t>MAY 22</t>
  </si>
  <si>
    <t>10.1029/2001JC001226</t>
  </si>
  <si>
    <t>683YT</t>
  </si>
  <si>
    <t>WOS:000183179200001</t>
  </si>
  <si>
    <t>Hall, IR; McCave, IN; Zahn, R; Carter, L; Knutz, PC; Weedon, GP</t>
  </si>
  <si>
    <t>Paleocurrent reconstruction of the deep Pacific inflow during the middle Miocene: Reflections of East Antarctic Ice Sheet growth</t>
  </si>
  <si>
    <t>Miocene; deep western boundary current; sortable silt; sediment drifts; Ocean Drilling Program; southwest Pacific</t>
  </si>
  <si>
    <t>WESTERN-BOUNDARY CURRENT; SOUTHWEST PACIFIC; NORTH-ATLANTIC; SOUTHERN-OCEAN; NEW-ZEALAND; ABYSSAL CIRCULATION; WATER CIRCULATION; OXYGEN ISOTOPES; SORTABLE SILT; PALEOCEANOGRAPHY</t>
  </si>
  <si>
    <t>[1] Today the deep western boundary current (DWBC) east of New Zealand is the most important route for deep water entering the Pacific Ocean. Large-scale changes in deep water circulation patterns are thought to have been associated with the development of the East Antarctic Ice Sheet (EAIS) close to the main source of bottom water for the DWBC. Here we reconstruct the changing speed of the southwest Pacific DWBC during the middle Miocene from similar to15.5-12.5 Ma, a period of significant global ice accumulation associated with EAIS growth. Sortable silt mean grain sizes from Ocean Drilling Program Site 1123 reveal variability in the speed of the Pacific inflow on the timescale of the 41 kyr orbital obliquity cycle. Similar orbital period flow changes have recently been demonstrated for the Pleistocene epoch. Collectively, these observations suggest that a strong coupling between changes in the speed of the deep Pacific inflow and high-latitude climate forcing may have been a persistent feature of the global thermohaline circulation system for at least the past 15 Myr. Furthermore, long-term changes in flow speed suggest an intensification of the DWBC under an inferred increase in Southern Component Water production. This occurred at the same time as decreasing Tethyan outflow and major EAIS growth between similar to15.5 and 13.5 Ma. These results provide evidence that a major component of the deep thermohaline circulation was associated with the middle Miocene growth of the EAIS and support the view that this time interval represents an important step in the development of the Neogene icehouse climate.</t>
  </si>
  <si>
    <t>Cardiff Univ, Dept Earth Sci, Cardiff CF10 3YE, S Glam, Wales; Univ Cambridge, Dept Earth Sci, Cambridge CB2 3EQ, England; Univ Barcelona, ICREA, GRC Geociencies Marines, Fac Geol, E-08028 Barcelona, Spain; Natl Inst Water &amp; Atmosphere, Wellington, New Zealand; Univ Copenhagen, Inst Geol, DK-1350 Copenhagen, Denmark; Univ Luton, Ctr Environm Change &amp; Volcan Studies, Luton LU1 3JU, Beds, England</t>
  </si>
  <si>
    <t>Cardiff University; University of Cambridge; University of Barcelona; ICREA; National Institute of Water &amp; Atmospheric Research (NIWA) - New Zealand; University of Copenhagen; University of Bedfordshire</t>
  </si>
  <si>
    <t>Hall, IR (corresponding author), Cardiff Univ, Dept Earth Sci, POB 914, Cardiff CF10 3YE, S Glam, Wales.</t>
  </si>
  <si>
    <t>Weedon, Graham P./B-7574-2008; Weedon, Graham/JCE-1078-2023; McCave, Nick N/G-7323-2016; McCave, I. Nick/O-3992-2018; Knutz, Paul C/B-5814-2015; Hall, Ian/C-2755-2009</t>
  </si>
  <si>
    <t>Weedon, Graham P./0000-0003-1262-9984; McCave, Nick N/0000-0002-4702-5489; McCave, I. Nick/0000-0002-4702-5489; Knutz, Paul C/0000-0001-5188-4254; Hall, Ian/0000-0001-6960-1419</t>
  </si>
  <si>
    <t>10.1029/2002PA000817</t>
  </si>
  <si>
    <t>683ZK</t>
  </si>
  <si>
    <t>WOS:000183180800001</t>
  </si>
  <si>
    <t>Liu, Z; Brady, E; Lynch-Stieglitz, J</t>
  </si>
  <si>
    <t>Global ocean response to orbital forcing in the Holocene</t>
  </si>
  <si>
    <t>Holocene climate; ocean; sea surface temperature; thermocline</t>
  </si>
  <si>
    <t>SEA-SURFACE TEMPERATURE; CLIMATE-SYSTEM-MODEL; EL-NINO; NORTHERN-HEMISPHERE; LAST DEGLACIATION; ATLANTIC-OCEAN; ANTARCTIC PENINSULA; HIGH-LATITUDE; VARIABILITY; CIRCULATION</t>
  </si>
  <si>
    <t>[1] Global upper ocean evolution in the Holocene is studied in two coupled ocean-atmosphere models under orbital forcing conditions at 3, 6, 8, and 11 ka. The annual mean sea surface temperature (SST) changes in the early to mid-Holocene are found to be forced mainly by the annual mean insolation forcing with an overall symmetric response of colder equator (&lt;0.5°C)/warmer high latitudes (&lt;0.4degreesC in the Southern Ocean and &gt;1degreesC in the Arctic). This SST change is consistent with a synthesis of mid-Holocene paleo-SST records. In contrast, the temperature response in the thermocline is dominated by an antisymmetric pattern with a cooling (warming) in the Northern (Southern) Hemisphere midlatitudes. The thermocline response is determined predominantly by surface water subduction, and ultimately, the insolation forcing in local late winter.</t>
  </si>
  <si>
    <t>Univ Wisconsin, Ctr Climat Res, Madison, WI 53706 USA; Natl Ctr Atmospher Res, CGD, Boulder, CO 80307 USA; Columbia Univ, Lamont Doherty Geol Observ, Palisades, NY 10964 USA; Columbia Univ, Dept Earth &amp; Environm Sci, New York, NY USA</t>
  </si>
  <si>
    <t>University of Wisconsin System; University of Wisconsin Madison; National Center Atmospheric Research (NCAR) - USA; Columbia University; Columbia University</t>
  </si>
  <si>
    <t>Liu, Z (corresponding author), Univ Wisconsin, Ctr Climat Res, 1225 W Dayton, Madison, WI 53706 USA.</t>
  </si>
  <si>
    <t>Lynch-Stieglitz, Jean/J-2277-2018</t>
  </si>
  <si>
    <t>Lynch-Stieglitz, Jean/0000-0002-9353-1972</t>
  </si>
  <si>
    <t>10.1029/2002PA000819</t>
  </si>
  <si>
    <t>WOS:000183180800002</t>
  </si>
  <si>
    <t>Handler, MR; Wysoczanski, RJ; Gamble, JA</t>
  </si>
  <si>
    <t>Proterozoic lithosphere in Marie Byrd Land, West Antarctica: Re-Os systematics of spinel peridotite xenoliths</t>
  </si>
  <si>
    <t>CHEMICAL GEOLOGY</t>
  </si>
  <si>
    <t>Re-Os isotopes; continental lithospheric mantle; xenoliths; Marie Byrd Land; West Antarctica</t>
  </si>
  <si>
    <t>OSMIUM ISOTOPIC COMPOSITION; OCEANIC ISLAND BASALTS; MANTLE BENEATH; PACIFIC MARGIN; CONSTRAINTS; EVOLUTION; SUBDUCTION; AUSTRALIA; GONDWANA; ANCIENT</t>
  </si>
  <si>
    <t>Marie Byrd Land, which forms part of the composite West Antarctica microplate, experienced a long history of subduction during Paleozoic and Mesozoic times, and has been argued to have been affected by at least one mantle plume. The age of the Marie Byrd Land lithosphere is not known, as the only lower crustal samples (granulite and pyroxenite xenoliths) have proven resistant to conventional radiogenic dating methods. The oldest exposed magmatic rocks are Cambrian, and any Precambrian history for Marie Byrd Land, while speculated upon, is unknown. Here we present the first geochemical data for a peridotite xenolith suite from Marie Byrd Land, including Re-Os isotope measurements for 17 samples. The 17 spinel peridotites are from three volcanic centers: Mt Hampton and Mt Cumming, in the Executive Committee Range, and Mt Aldaz, in the USAS Escarpment. The xenoliths are residual lherzolites and harzburgites, ranging from fertile to depleted (e.g. 0.39-3.38 wt.% CaO) compositions. Re-Os isotopic systematics indicate a complex evolution for the Marie Byrd Land lithosphere. One sample records Re + Cu +/- Os enrichment and two samples document localized Os enrichment, which is most likely related to supra-subduction zone processing, although enrichment due to plume interaction cannot be ruled out. Proterozoic lithosphere stabilization model ages of ca. 1.1 and &gt; 1.3 Ga are recorded in xenoliths from the Executive Committee Range. The Proterozoic ages are significantly older than outcropping mid-crustal rocks, marking Marie Byrd Land as a third circum-Pacific Phanerozoic mobile belt with preserved Proterozoic lithospheric mantle. The Mesoproterozoic Os model ages are consistent with Proterozoic Nd model ages in Marie Byrd Land granites and orthogneisses, and with a significant detrital zircon age component (ca. 1.0-1.2 Ga) in the thick Swanson Formation sediments that are exposed along the coast. The simplest interpretation of the available mantle and crustal age data is that the lower crust beneath Marie Byrd Land is also Proterozoic in age. Alternatively, if the mantle and lower crust in Marie Byrd Land are not temporally coupled, possible origins for the Proterozoic mantle include older lithosphere impinging from the adjacent East Antarctic craton, or lithospheric mantle that was incorporated into younger oceanic lithosphere during messy continental breakup (e.g. within an oceanic plateau) and subsequently accreted to the Antarctic margin. (C) 2002 Elsevier Science B.V. All rights reserved.</t>
  </si>
  <si>
    <t>Carnegie Inst Sci, DTM, Washington, DC 20015 USA; Smithsonian Inst, NMNH, Dept Mineral Sci, Washington, DC 20560 USA; Victoria Univ Wellington, Dept Geol, Wellington, New Zealand</t>
  </si>
  <si>
    <t>Carnegie Institution for Science; Smithsonian Institution; Smithsonian National Museum of Natural History; Victoria University Wellington</t>
  </si>
  <si>
    <t>JAMSTEC, IFREE, 2-15 Natsushima Cho, Kanagawa 2370061, Japan.</t>
  </si>
  <si>
    <t>Wysoczanski, Richard/C-2930-2009; Wysoczanski, Richard/I-7730-2012; Handler`, Monica R/E-9460-2011</t>
  </si>
  <si>
    <t>Handler, Monica/0000-0001-7095-0835</t>
  </si>
  <si>
    <t>0009-2541</t>
  </si>
  <si>
    <t>1872-6836</t>
  </si>
  <si>
    <t>CHEM GEOL</t>
  </si>
  <si>
    <t>Chem. Geol.</t>
  </si>
  <si>
    <t>MAY 15</t>
  </si>
  <si>
    <t>1-4</t>
  </si>
  <si>
    <t>10.1016/S0009-2541(02)00410-2</t>
  </si>
  <si>
    <t>671HA</t>
  </si>
  <si>
    <t>WOS:000182458200008</t>
  </si>
  <si>
    <t>Horne, RB; Glauert, SA; Thorne, RM</t>
  </si>
  <si>
    <t>Resonant diffusion of radiation belt electrons by whistler-mode chorus</t>
  </si>
  <si>
    <t>RELATIVISTIC ELECTRONS; INNER MAGNETOSPHERE; ACCELERATION; PLASMASPHERE; ENERGIES; STORM; WAVES</t>
  </si>
  <si>
    <t>[1] We present the first relativistic electron pitch-angle and momentum diffusion rates for scattering by whistler-mode waves in the low density regieme. Diffusion rates are strongly dependent on the ratio between the electron plasma and gyro-frequencies omega(pe)/Omega(e). For conditions typical of storm times, diffusion rates at a few MeV increase by more than 3 orders of magnitude as omega(pe)/Omega(e) is reduced from 10 to 1.5. Diffusion rates are extremely sensitive to energy and become ineffective above 3 MeV. At energies below 100 keV pitch-angle diffusion approaches strong diffusion loss to the atmosphere, while loss at higher energies is much weaker. For storm-time whistler-mode chorus amplitudes near 100 pT, and omega(pe)/Omega(e) less than or equal to 2.5, acceleration timescales can be less than a day at 1 MeV. This indicates that chorus diffusion could provide an important mechanism for local acceleration during the recovery phase of storms outside the plasma-pause.</t>
  </si>
  <si>
    <t>Horne, RB (corresponding author), British Antarctic Survey, Madingley Rd, Cambridge CB3 0ET, England.</t>
  </si>
  <si>
    <t>10.1029/2003GL016963</t>
  </si>
  <si>
    <t>682PM</t>
  </si>
  <si>
    <t>WOS:000183100800002</t>
  </si>
  <si>
    <t>Cai, WJ; Whetton, PH; Karoly, DJ</t>
  </si>
  <si>
    <t>The response of the Antarctic Oscillation to increasing and stabilized atmospheric CO2</t>
  </si>
  <si>
    <t>CSIRO COUPLED MODEL; ZONAL WAVE-NUMBER-3 PATTERN; HIGH-LATITUDE VARIABILITY; DYNAMIC SEA-ICE; SOUTHERN-HEMISPHERE; CLIMATE-CHANGE; EXTRATROPICAL CIRCULATION; PERSISTENT ANOMALIES; TROPICAL CONVECTION; TRANSIENT-RESPONSE</t>
  </si>
  <si>
    <t>Recent results from greenhouse warming experiments, most of which follow the Intergovernmental Panel on Climate Change (IPCC) IS92a scenario, have shown that under increasing atmospheric CO2 concentration, the Antarctic Oscillation (AAO) exhibits a positive trend. However, its response during the subsequent CO2 stabilization period has not been explored. In this study, it is shown that the upward trend of the AAO reverses during such a stabilization period. This evolution of an upward trend and a subsequent reversal is present in each ensemble of three greenhouse simulations using three versions of the CSIRO Mark 2 coupled climate model. The evolution is shown to be linked with that of surface temperature, which also displays a corresponding trend and reversal, incorporating the well-known feature of interhemispheric warming asymmetry with smaller warming in the Southern Hemisphere ( smaller as latitude increases) than that in the Northern Hemisphere during the transient period, and vice versa during the stabilization period. These results indicate that once CO2 concentration stabilizes, reversal of the AAO trend established during the transient period is likely to be a robust feature, as it is underpinned by the likelihood that latitudinal warming differences will reduce or disappear. The implication is that climatic impacts associated with the AAO trend during the transient period may be reversible if CO2 stabilization is achieved.</t>
  </si>
  <si>
    <t>CSIRO Atmospher Res, Aspendale, Vic 3195, Australia; Monash Univ, Sch Math Sci, Clayton, Vic 3168, Australia</t>
  </si>
  <si>
    <t>Commonwealth Scientific &amp; Industrial Research Organisation (CSIRO); Monash University</t>
  </si>
  <si>
    <t>CSIRO Atmospher Res, PMB 1, Aspendale, Vic 3195, Australia.</t>
  </si>
  <si>
    <t>wenju.cai@csiro.au</t>
  </si>
  <si>
    <t>Whetton, Penny H/A-6885-2012; Cai, Wenju/C-2864-2012; Karoly, David/C-8262-2011</t>
  </si>
  <si>
    <t>Cai, Wenju/0000-0001-6520-0829; Karoly, David/0000-0002-8671-2994</t>
  </si>
  <si>
    <t>10.1175/1520-0442-16.10.1525</t>
  </si>
  <si>
    <t>675MQ</t>
  </si>
  <si>
    <t>WOS:000182699500007</t>
  </si>
  <si>
    <t>Miller, AJ; Zhou, S; Yang, SK</t>
  </si>
  <si>
    <t>Relationship of the Arctic and Antarctic oscillations to the outgoing longwave radiation</t>
  </si>
  <si>
    <t>ANNULAR MODES; CLIMATE VARIABILITY; CIRCULATION; BUDGET; REANALYSIS; ERBE</t>
  </si>
  <si>
    <t>While several mechanisms have been suggested to account for the association of the Arctic and Antarctic Oscillations (AO/AAO) with atmospheric parameters, this paper focuses on the relationship with the atmospheric outgoing longwave radiation (OLR). The main objective of this paper is to demonstrate through AO/AAO composite analysis that the NCEP-NCAR reanalysis OLR agrees with the independent observations of the NASA Earth Radiation Budget Experiment (ERBE) broadband satellite instruments both in zonal averages and in geographically mapped space, and to verify AO/AAO characterized general circulations derived from models and analyses. The results indicate several pronounced areas of storminess that are AO/AAO dependent. One is the well-known variation over the North Atlantic Ocean toward Europe. Also, several major areas are indicated in the tropical region - one in the Indian Ocean and the others in the west and central Pacific Ocean. In addition to demonstrating that the signals are statistically significant, also tested is the relationship of the features to other well-known tropical forcing mechanisms: the Madden - Julian oscillation (MJO) and the El Nino-La Nina sea surface temperature variations. It is shown that the tropical features do, in fact, have a strong relationship to the MJO, which indicates an additional tropical - extratropical interaction. With regard to the sea surface temperature, no correlation associated with the AO/AAO variability is seen. These associations with the cloudiness and atmospheric radiation budget suggest that if there is to be improvement of numerical model forecasts to an extended time period that numerical model radiation physics will have to be taken into consideration and improved.</t>
  </si>
  <si>
    <t>NOAA, NWS, NCEP, Climate Predict Ctr,RSIS, Camp Springs, MD 20746 USA</t>
  </si>
  <si>
    <t>Miller, AJ (corresponding author), NOAA, NWS, NCEP, Climate Predict Ctr,RSIS, 5200 Auth Rd,Room 805, Camp Springs, MD 20746 USA.</t>
  </si>
  <si>
    <t>Keyes, Dennis/AAZ-9285-2021</t>
  </si>
  <si>
    <t>10.1175/1520-0442-16.10.1583</t>
  </si>
  <si>
    <t>WOS:000182699500012</t>
  </si>
  <si>
    <t>Xue, Y; Smith, TM; Reynolds, RW</t>
  </si>
  <si>
    <t>Interdecadal changes of 30-yr SST normals during 1871-2000</t>
  </si>
  <si>
    <t>SEA-SURFACE TEMPERATURE; ENSO; VARIABILITY; PREDICTION; RECONSTRUCTION; CYCLE</t>
  </si>
  <si>
    <t>SST predictions are usually issued in terms of anomalies and standardized anomalies relative to a 30-yr normal: climatological mean (CM) and standard deviation (SD). The World Meteorological Organization (WMO) suggests updating the 30-yr normal every 10 yr. In complying with the WMO's suggestion, a new 30-yr normal for the 1971 - 2000 base period is constructed. To put the new 30-yr normal in historical perspective, all the 30-yr normals since 1871 are investigated, starting from the beginning of each decade ( 1871 - 1900, 1881 - 1910,..., 1971 - 2000). Using the extended reconstructed sea surface temperature (ERSST) on a 2degrees grid for 1854 - 2000 and the Hadley Centre Sea Ice and SST dataset (HadISST) on a 1degrees grid for 1870 - 1999, eleven 30-yr normals are calculated, and the interdecadal changes of seasonal CM, seasonal SD, and seasonal persistence ( P) are discussed. The interdecadal changes of seasonal CM are prominent (0.3degrees-0.6degrees) in the tropical Indian Ocean, the midlatitude North Pacific, the midlatitude North Atlantic, most of the South Atlantic, and the sub-Antarctic front. Four SST indices are used to represent the key regions of the interdecadal changes: the Indian Ocean (INDIAN''; 10degreesS 25degreesN, 45degrees - 100degreesE), the Pacific decadal oscillation (PDO; 35degrees- 45degreesN, 160degreesE - 160degreesW), the North Atlantic Oscillation (NAO; 40degrees - 60degreesN, 20degrees - 60degreesW), and the South Atlantic (SATL; 22degreesS - 2degreesN, 35degreesW - 10degreesE). Both INDIAN and SATL show a warming trend that is consistent between ERSST and HadISST. Both PDO and NAO show a multidecadal oscillation that is consistent between ERSST and HadISST except that HadISST is biased toward warm in summer and cold in winter relative to ERSST. The interdecadal changes in Nino-3 (5degreesS - 5degreesN, 90degrees - 150degreesW) are small ( 0.2degrees) and are inconsistent between ERSST and HadISST. The seasonal SD is prominent in the eastern equatorial Pacific, the North Pacific, and North Atlantic. The seasonal SD in Nino-3 varies interdecadally: intermediate during 1885 - 1910, small during 1910 - 65, and large during 1965 - 2000. These interdecadal changes of ENSO variance are further verified by the Darwin sea level pressure. The seasonality of ENSO variance ( smallest in spring and largest in winter) also varies interdecadally: moderate during 1885 - 1910, weak during 1910 - 65, and strong during 1965 - 2000. The interdecadal changes of the seasonal SD of other indices are weak and cannot be determined well by the datasets. The seasonal P, measured by the autocorrelation of seasonal anomalies at a two-season lag, is largest in the eastern equatorial Pacific, the tropical Indian, and the tropical North and South Atlantic Oceans. It is also seasonally dependent. The pring barrier'' of P in Nino-3 ( largest in summer and smallest in winter) varies interdecadally: relatively weak during 1885 - 1910, moderate during 1910 - 55, strong during 1955 - 75, and moderate during 1975 - 2000. The interdecadal changes of SD and P not only have important implications for SST forecasts but also have significant scientific values to be explored.</t>
  </si>
  <si>
    <t>NOAA, NCEP, NWS, Climate Predict Ctr, Camp Springs, MD 20746 USA; NOAA, NESDIS, Natl Climat Data Ctr, Asheville, NC USA</t>
  </si>
  <si>
    <t>National Oceanic Atmospheric Admin (NOAA) - USA; National Oceanic Atmospheric Admin (NOAA) - USA; National Center Atmospheric Research (NCAR) - USA</t>
  </si>
  <si>
    <t>NOAA, NCEP, NWS, Climate Predict Ctr, Rm 605-A,WWB,5200 Auth Rd, Camp Springs, MD 20746 USA.</t>
  </si>
  <si>
    <t>yan.xue@noaa.gov</t>
  </si>
  <si>
    <t>Smith, Thomas M./F-5626-2010</t>
  </si>
  <si>
    <t>Smith, Thomas M./0000-0001-7469-7849</t>
  </si>
  <si>
    <t>10.1175/1520-0442-16.10.1601</t>
  </si>
  <si>
    <t>WOS:000182699500014</t>
  </si>
  <si>
    <t>Gudmundsson, GH</t>
  </si>
  <si>
    <t>Transmission of basal variability to a glacier surface</t>
  </si>
  <si>
    <t>glaciers; ice streams; mathematical geophysics; kinematic waves</t>
  </si>
  <si>
    <t>ICE-FLOW; POLYTHERMAL GLACIERS; WAVES; DYNAMICS; MODEL; TILL</t>
  </si>
  <si>
    <t>Transmission of basal variability to a glacier surface is investigated using analytical models for a linearly viscous medium. The three-dimensional transient response of the surface to both bedrock undulations and spatial variations in basal slipperiness for perturbations of arbitrary wavelengths is determined using perturbation methods. Both information transfer toward the surface and lateral transmission of horizontal stresses are strongly affected by the slip ratio, that is, the ratio of basal sliding to deformational velocity. For any mean bedrock slope, and above a minimum value of slip ratio, the amplitude transfer of bedrock undulations toward the surface has a local maximum at undulation span corresponding to about 3-8 times the mean ice thickness. The transmission of basal variability to a glacier surface increases quite significantly with increasing slip ratio. This explains why the surfaces of fast flowing ice streams are more undulating than the slower moving bordering areas. At slip ratios higher than about 100, the flow of glaciers and ice sheets becomes nonlocal in the sense that surface velocities and buildup and propagation of surface undulations cannot be calculated accurately on the basis of local thickness and slope. Using linearized long-wave theories at these slip ratios, instead of the more accurate arbitrary wavelength theory, gives estimates of decay times that are an order-of-magnitude too small and phase velocities several times too large. The problem of the propagation and decay of small-amplitude surface undulations on glaciers in three dimensions is solved. Small-amplitude surface waves on glaciers are strongly diffusive and dispersive. Redistribution of mass on ice sheets and glaciers is a diffusion process, and it is misleading, albeit not mathematically incorrect, to describe the reaction of glaciers to surface perturbations in terms of a wave propagation.</t>
  </si>
  <si>
    <t>British Antarctic Survey, Cambridge CB3 0ET, England; ETH, Hydraul Hydrol &amp; Glaciol Lab, CH-8092 Zurich, Switzerland</t>
  </si>
  <si>
    <t>UK Research &amp; Innovation (UKRI); Natural Environment Research Council (NERC); NERC British Antarctic Survey; Swiss Federal Institutes of Technology Domain; ETH Zurich</t>
  </si>
  <si>
    <t>ghg@bas.ac.uk</t>
  </si>
  <si>
    <t>Gudmundsson, Gudmundur Hilmar/F-6499-2012; Gudmundsson, Gudmundur Hilmar/AAU-5987-2020</t>
  </si>
  <si>
    <t>Gudmundsson, Gudmundur Hilmar/0000-0003-4236-5369; Gudmundsson, Gudmundur Hilmar/0000-0003-4236-5369</t>
  </si>
  <si>
    <t>B5</t>
  </si>
  <si>
    <t>10.1029/2002JB002107</t>
  </si>
  <si>
    <t>682TE</t>
  </si>
  <si>
    <t>WOS:000183107800005</t>
  </si>
  <si>
    <t>Trevena, AJ; Jones, GB; Wright, SW; van den Enden, RL</t>
  </si>
  <si>
    <t>Profiles of dimethylsulphoniopropionate (DMSP), algal pigments, nutrients, and salinity in the fast ice of Prydz Bay, Antarctica</t>
  </si>
  <si>
    <t>dimethysulphoniopropionate; ice algae; chlorophyll a; carotenoids; nutrients</t>
  </si>
  <si>
    <t>SEA-ICE; EASTERN ANTARCTICA; PACK ICE; COCCOLITHOPHORE BLOOM; DIMETHYL SULFIDE; SOUTHERN-OCEAN; ELLIS FJORD; PHYTOPLANKTON; DIMETHYLSULFONIOPROPIONATE; SULFUR</t>
  </si>
  <si>
    <t>[1] Total dimethylsulphoniopropionate (DMSPt), chlorophyll a (Chl a), and algal marker pigments were measured in 12 fast ice cores collected from Prydz Bay, eastern Antarctica (68degrees- 69degreesS, 77degrees- 79degreesE) in October 1997 and November 1998. Patterns of DMSPt distribution through the ice were similar on spatial scales of meters to tens of kilometers within ice sheets grouped according to growth history. This reflects the association of DMSP in fast ice with autotrophic biomass distribution, which is intrinsically linked with ice growth and differed between the ice sheets. The 12 fast ice cores were divided into three groups on the basis of ice thickness and year. Concentrations of DMSPt ranged widely from 9 to 1478 nM with marked peaks occurring within each core. Mean DMSPt concentrations were higher ( 200 nM) in the medium first-year ice (0.7-1.2 m) than in the thick (&gt; 1.2 m) first-year ice (90 nM), mainly because of a local surface algal assemblage that may be atypical. The fast ice algal assemblages in surface, interior, and bottom ice were dominated by diatoms ( Fucoxanthin: Chl a concentrations &gt; 80%). Dinoflagellates and haptophytes were generally small and variable components of the assemblages (Peridinin: Chl a 2-11% and 19'-hexanoyloxyfucoxanthin: Chl a 2-4%, respectively). Our data support the important contribution of diatoms to DMSP production in sea ice. Nutrient ( nitrate, silicate, phosphate) concentrations were measured for one group of cores. Silicate and Chl a concentrations were significantly correlated (r = 0.30, P &lt; 0.02, Pearson), implying that silicate availability may have regulated algal growth. The Si: P: N ratio in interior ice ( 27: 1: 10) was different to that in surface and bottom ice ( 46: 1: 23). We have summarized DMSP data reported from six Antarctic sea ice studies to investigate whether comparisons within the growing database need to consider differences in sea ice type, thickness, location, or season. Although concentrations from individual samples ranged over 4 orders of magnitude (&lt; 1 to &gt; 1000 nM, n = 410), the mean DMSP concentrations during spring/summer were within the range of 107 - 322 nM, with an overall mean of 178 nM. Mean DMSP concentrations in Antarctic sea ice appear to be comparable between studies and across the Antarctic sea ice zone. We estimate that the Antarctic sea ice zone may contain up to 9 Mmole sulphur as DMSP.</t>
  </si>
  <si>
    <t>James Cook Univ N Queensland, Dept Chem, Townsville, Qld 4811, Australia; So Cross Univ, Sch Environm Sci &amp; Management, Lismore, NSW 2480, Australia; Australian Antarctic Div, Kingston, Tas 7050, Australia</t>
  </si>
  <si>
    <t>James Cook University; Southern Cross University; Australian Antarctic Division</t>
  </si>
  <si>
    <t>Trevena, AJ (corresponding author), Free Univ Brussels, Dept Sci Terre &amp; Environm, CP 160-03,50 Av FD Roosevelt, B-1050 Brussels, Belgium.</t>
  </si>
  <si>
    <t>anne_trevena@yahoo.com.au</t>
  </si>
  <si>
    <t>Jones, Graham/0000-0002-2815-6395</t>
  </si>
  <si>
    <t>MAY 14</t>
  </si>
  <si>
    <t>10.1029/2002JC001369</t>
  </si>
  <si>
    <t>682RJ</t>
  </si>
  <si>
    <t>WOS:000183105700002</t>
  </si>
  <si>
    <t>Stoner, JS; Channell, JET; Hodell, DA; Charles, CD</t>
  </si>
  <si>
    <t>A ∼580 kyr paleomagnetic record from the sub-Antarctic South Atlantic (Ocean Drilling Program Site 1089) -: art. no. 2244</t>
  </si>
  <si>
    <t>geomagnetic paleointensity; paleomagnetic secular variation; paleomagnetic excursions; Pleistocene; South Atlantic Ocean; oxygen isotope stratigraphy</t>
  </si>
  <si>
    <t>EARTHS MAGNETIC-FIELD; GEOMAGNETIC PALEOINTENSITY; SEDIMENTARY RECORDS; SECULAR VARIATION; NORTH-ATLANTIC; GARDAR DRIFT; LABRADOR-SEA; INTENSITY; KA; CHRONOSTRATIGRAPHY</t>
  </si>
  <si>
    <t>We report geomagnetic directional paleosecular variation, relative paleointensity proxies and oxygen isotope data from the upper 88 m composite depth (mcd) at South Atlantic Ocean Drilling Program (ODP) Site 1089 (40degrees56.2'S, 9degrees53.64'E, 4620 m water depth). The age model is provided by high-resolution oxygen isotope stratigraphy, augmented by radiocarbon dates from the upper 8 mcd of nearby piston core RC11-83. Mean sedimentation rates at Site 1089 are in the range of 15 to 20 cm/kyr. Two intervals during the Brunhes Chron, at similar to29.6 mcd (similar to190 ka) and at similar to48 mcd (similar to335 ka), have component magnetization directions with positive (reverse polarity) inclination; however, the excursional directions are heavily overprinted by the postexcursional field. Magnetite is the dominant carrier of magnetic remanence, and occurs in the pseudosingle-domain (PSD) grain size. An additional higher-coercivity magnetic carrier, characterized by low unblocking temperatures (&lt;350 degrees C), is assumed to be authigenic pyrrhotite. A decrease in magnetization intensity down core is mirrored by a reduction in pore water sulfate, indicating diagenetic reduction of magnetite. Despite down-core changes in magnetic mineralogy, normalized intensity records from Site 1089 are comparable with high-resolution paleointensity records from the North Atlantic (e.g., ODP Sites 983 and 984). Sediment properties and sedimentation patterns within the Cape (Site 1089) and Iceland (Sites 983 and 984) Basins are distinctly different at both millennial and orbital timescales and therefore preclude lithologic variability from being the source of this correlation. Variations in normalized intensity from Site 1089 therefore appear to reflect changes in global-scale geomagnetic field intensity.</t>
  </si>
  <si>
    <t>Univ Florida, Dept Geol Sci, Gainesville, FL 32611 USA; Univ Calif San Diego, Scripps Inst Oceanog, La Jolla, CA 92093 USA</t>
  </si>
  <si>
    <t>State University System of Florida; University of Florida; University of California System; University of California San Diego; Scripps Institution of Oceanography</t>
  </si>
  <si>
    <t>Stoner, JS (corresponding author), Univ Colorado, Inst Arctic &amp; Alpine Res, INSTAAR, Boulder, CO 80309 USA.</t>
  </si>
  <si>
    <t>joseph.stoner@colorado.edu</t>
  </si>
  <si>
    <t>Hodell, David/0000-0001-8537-1588</t>
  </si>
  <si>
    <t>10.1029/2001JB001390</t>
  </si>
  <si>
    <t>682TD</t>
  </si>
  <si>
    <t>WOS:000183107700003</t>
  </si>
  <si>
    <t>Steil, B; Brühl, C; Manzini, E; Crutzen, PJ; Lelieveld, J; Rasch, PJ; Roeckner, E; Krüger, K</t>
  </si>
  <si>
    <t>A new interactive chemistry-climate model:: 1.: Present-day climatology and interannual variability of the middle atmosphere using the model and 9 years of HALOE/UARS data -: art. no. 4290</t>
  </si>
  <si>
    <t>chemistry-climate model; stratospheric ozone; UARS satellite data; chlorine partitioning; polar ozone</t>
  </si>
  <si>
    <t>GENERAL-CIRCULATION MODEL; DOPPLER-SPREAD PARAMETERIZATION; STRATOSPHERE-TROPOSPHERE EXCHANGE; HALOGEN OCCULTATION EXPERIMENT; QUASI-BIENNIAL OSCILLATION; SEMI-LAGRANGIAN TRANSPORT; WAVE MOMENTUM DEPOSITION; OZONE DEPLETION; INITIATIVE ASSESSMENT; NORTHERN-HEMISPHERE</t>
  </si>
  <si>
    <t>The newly developed middle atmosphere general circulation model with interactive photochemistry, Middle Atmosphere European Centre/Hamburg Model 4 with Chemistry (MA-ECHAM4-CHEM), has been applied for several 20 year time slice'' experiments using fixed boundary conditions typical of the early and late 1990s, the 1960s, and the near future, including sensitivity runs to study effects of sea surface temperature and greenhouse gas concentration changes. In part 1 we compare the results for the early and late 1990s with 9 years of data of the Halogen Occultation Experiment (HALOE) on the Upper Atmosphere Research Satellite, some presented for the first time, and other satellite and radiosonde data. We show a statistical analysis as well as snapshots of a set of chemical species for typical situations. The model captures the main features of temperature and ozone distributions including the interannual variability of the Arctic and Antarctic vortices and homogeneous and heterogeneous ozone destruction. A detailed comparison of modeled and observed chlorine and nitrogen species including denitrification and chlorine repartitioning in the polar vortices is presented, showing generally good agreement. This holds also for chemical ozone budgets derived from the model and from satellite data. Computed stratospheric and mesospheric water vapor agrees with the satellite data within about 10%, including dehydration in the Antarctic winter. However, in the tropical lower stratosphere, the concentrations of the source gases are underestimated, presumably because of numerical deficiencies in transport. It is shown that interactive photochemistry is important to get agreement with observed temperatures in the lower stratosphere in high-latitude spring. Our coupled model provides a powerful tool to investigate chemical-radiative-dynamical feedback mechanisms of anthropogenic trace gas emissions and natural variability on climate and stratospheric ozone, at least for quasi-steady-state conditions.</t>
  </si>
  <si>
    <t>Max Planck Inst Chem, Air Chem Div, D-55020 Mainz, Germany; Max Planck Inst Meteorol, D-20146 Hamburg, Germany; Natl Ctr Atmospher Res, Boulder, CO 80307 USA; Free Univ Berlin, Inst Meteorol, D-12165 Berlin, Germany</t>
  </si>
  <si>
    <t>Max Planck Society; Max Planck Society; National Center Atmospheric Research (NCAR) - USA; Free University of Berlin</t>
  </si>
  <si>
    <t>Steil, B (corresponding author), Max Planck Inst Chem, Air Chem Div, POB 3060, D-55020 Mainz, Germany.</t>
  </si>
  <si>
    <t>steil@mpch-mainz.mpg.de; pjr@ucar.edu; roeckner@dkrz.de; krueger@strat01.met.fu-berlin.de</t>
  </si>
  <si>
    <t>Manzini, Elisa/H-5760-2011; Rasch, Philip J/F-7978-2018; Crutzen, Paul J/F-6044-2012; Lelieveld, Johannes (Jos)/A-1986-2013</t>
  </si>
  <si>
    <t>Lelieveld, Johannes (Jos)/0000-0001-6307-3846</t>
  </si>
  <si>
    <t>MAY 13</t>
  </si>
  <si>
    <t>D9</t>
  </si>
  <si>
    <t>10.1029/2002JD002971</t>
  </si>
  <si>
    <t>682QN</t>
  </si>
  <si>
    <t>WOS:000183103300011</t>
  </si>
  <si>
    <t>Stramska, M; Stramski, D; Hapter, R; Kaczmarek, S; Ston, J</t>
  </si>
  <si>
    <t>Bio-optical relationships and ocean color algorithms for the north polar region of the Atlantic</t>
  </si>
  <si>
    <t>ocean optical properties; bio-optical algorithms; ocean color remote sensing; north polar Atlantic</t>
  </si>
  <si>
    <t>ANTARCTIC PENINSULA WATERS; BIOOPTICAL PROPERTIES; REFLECTANCE MODEL; LIGHT-ABSORPTION; CHLOROPHYLL-A; BACKSCATTERING COEFFICIENTS; AQUATIC PARTICLES; BIOGENOUS MATTER; SOUTHERN-OCEAN; SEAWIFS DATA</t>
  </si>
  <si>
    <t>Up to now, relatively few bio-optical measurements have been made in the high northern latitude waters, which allow sound relationships for ocean color remote sensing to be determined. We collected optical and chlorophyll a concentration, Chl, data in the north polar region of the Atlantic in summer season. The investigated region includes subarctic and arctic waters between 70degreesN and 80degreesN within the meridional zone between 1degreesE and 20degreesE. Our measurements show that the current NASA global algorithms, OC2, OC4, and chlor-MODIS, generally overpredict Chl in the investigated waters by a factor of about 2 at low pigment concentrations (&lt;0.2 mg m(-3)) and underpredict Chl at higher concentrations (20-50% at 2-3 mg m(-3)). For our data set, the best two-band algorithm for Chl involves the ratio of remote-sensing reflectance, R-rs(442)/R-rs(555), at 442-nm and 555-nm light wavebands. We found that the general trend of variation in the blue-to-green reflectance ratio, R-rs(442)/R-rs(555) or R-rs(490)/R-rs(555), with Chl was driven primarily by Chl-dependent change in the green-to-blue ratio of absorption by pure seawater and particles. The effect of the blue-to-green backscattering ratio was of secondary importance. We observed a characteristic optical differentiation of waters within the investigated region. The majority of waters, which are here hypothesized to be dominated by diatoms, exhibited a relatively high blue-to-green reflectance ratio. The waters at several other stations, presumably dominated by dinoflagellates and/or prymnesiophytes, showed much lower reflectance ratio. Our data also show that the seemingly random variations in particulate absorption and backscattering coefficients at any given Chl are significant ( more than a factor of 2) in the investigated waters.</t>
  </si>
  <si>
    <t>Univ So Calif, Hancock Inst Marine Studies, Los Angeles, CA 90089 USA; Univ Calif San Diego, Scripps Inst Oceanog, La Jolla, CA 92093 USA; Polish Acad Sci, Inst Oceanol, PL-81712 Sopot, Poland</t>
  </si>
  <si>
    <t>University of Southern California; University of California System; University of California San Diego; Scripps Institution of Oceanography; Polish Academy of Sciences; Institute of Oceanology of the Polish Academy of Sciences</t>
  </si>
  <si>
    <t>Univ So Calif, Hancock Inst Marine Studies, Los Angeles, CA 90089 USA.</t>
  </si>
  <si>
    <t>stramska@usc.edu; stramski@mpl.ucsd.edu; hapter@iopan.gda.pl; kaczmar@iopan.gda.pl; aston@iopan.gda.pl</t>
  </si>
  <si>
    <t>Kaczmarek, Slawomir/ABA-6212-2021</t>
  </si>
  <si>
    <t>Kaczmarek, Slawomir/0000-0003-2728-7489; Ston-Egiert, Joanna/0000-0002-4274-8979; Stramska, Malgorzata/0000-0002-3424-9846</t>
  </si>
  <si>
    <t>10.1029/2001JC001195</t>
  </si>
  <si>
    <t>682RG</t>
  </si>
  <si>
    <t>WOS:000183105500002</t>
  </si>
  <si>
    <t>Coleman, IJ; Chisham, G; Pinnock, M; Freeman, MP</t>
  </si>
  <si>
    <t>Reply to comment by S. M. Petrinec and S. A. Fuselier on An ionospheric convection signature of antiparallel reconnection</t>
  </si>
  <si>
    <t>magnetic reconnection magnetopause; ionosphere; antiparallel</t>
  </si>
  <si>
    <t>British Antarctic Survey, Div Phys Sci, Cambridge CB3 OET, England</t>
  </si>
  <si>
    <t>British Antarctic Survey, Div Phys Sci, High Cross,Madingly Rd, Cambridge CB3 OET, England.</t>
  </si>
  <si>
    <t>ijc@bas.ac.uk</t>
  </si>
  <si>
    <t>Freeman, Mervyn/E-5687-2019</t>
  </si>
  <si>
    <t>Freeman, Mervyn/0000-0002-8653-8279</t>
  </si>
  <si>
    <t>A5</t>
  </si>
  <si>
    <t>10.1029/2002JA009568</t>
  </si>
  <si>
    <t>682TK</t>
  </si>
  <si>
    <t>WOS:000183108300003</t>
  </si>
  <si>
    <t>Platt, T; Broomhead, DS; Sathyendranath, S; Edwards, AM; Murphy, EJ</t>
  </si>
  <si>
    <t>Phytoplankton biomass and residual nitrate in the pelagic ecosystem</t>
  </si>
  <si>
    <t>PROCEEDINGS OF THE ROYAL SOCIETY A-MATHEMATICAL PHYSICAL AND ENGINEERING SCIENCES</t>
  </si>
  <si>
    <t>ocean modelling; high nutrient; low chlorophyll; difference equations; coupled maps</t>
  </si>
  <si>
    <t>PLANKTON; PREDATION; DYNAMICS; MODELS</t>
  </si>
  <si>
    <t>We develop and analyse a simple, two-compartment (chlorophyll and nitrate) model of the surface mixed layer of the ocean. The mixed-layer depth is modulated intermittently to simulate the effects of storms. The optical properties of the water column are linked to changes in the chlorophyll biomass. The model can be treated analytically. Mathematical bounds are found for the autotrophic biomass and the residual nitrate in terms of the intensity and frequency of storms and the bio-optical properties of the phytoplankton. The results are discussed in the context of the high-nutrient, low-chlorophyll regimes, where unconsumed nitrate is a persistent occurrence.</t>
  </si>
  <si>
    <t>Bedford Inst Oceanog, Biol Oceanog Sect, Dartmouth, NS B2Y 4A2, Canada; Univ Manchester, Inst Sci &amp; Technol, Dept Math, Manchester M60 1QD, Lancs, England; Dalhousie Univ, Dept Oceanog, Halifax, NS B3H 4J1, Canada; British Antarctic Survey, NERC, Cambridge CB3 0ET, England</t>
  </si>
  <si>
    <t>Bedford Institute of Oceanography; Fisheries &amp; Oceans Canada; University of Manchester; Dalhousie University; UK Research &amp; Innovation (UKRI); Natural Environment Research Council (NERC); NERC British Antarctic Survey</t>
  </si>
  <si>
    <t>Platt, T (corresponding author), Bedford Inst Oceanog, Biol Oceanog Sect, Box 1006, Dartmouth, NS B2Y 4A2, Canada.</t>
  </si>
  <si>
    <t>murphy, eugene/GZL-1620-2022; Broomhead, David S/C-6836-2009; edwards, andrew m/E-6900-2010</t>
  </si>
  <si>
    <t>1364-5021</t>
  </si>
  <si>
    <t>1471-2946</t>
  </si>
  <si>
    <t>P ROY SOC A-MATH PHY</t>
  </si>
  <si>
    <t>Proc. R. Soc. A-Math. Phys. Eng. Sci.</t>
  </si>
  <si>
    <t>MAY 8</t>
  </si>
  <si>
    <t>10.1098/rspa.2002.1079</t>
  </si>
  <si>
    <t>674UG</t>
  </si>
  <si>
    <t>WOS:000182653900002</t>
  </si>
  <si>
    <t>Hughes, CW; Woodworth, PL; Meredith, MP; Stepanov, V; Whitworth, T; Pyne, AR</t>
  </si>
  <si>
    <t>Coherence of Antarctic sea levels, Southern Hemisphere Annular Mode, and flow through Drake Passage</t>
  </si>
  <si>
    <t>EXTRATROPICAL CIRCULATION; TOPEX/POSEIDON; VARIABILITY</t>
  </si>
  <si>
    <t>[1] It is known from small sets of tide gauges that subsurface pressure (sea level corrected for the inverse barometer effect) around Antarctica varies coherently around about half of the continent, and that this coherent signal is related to atmospheric forcing in the form of the Antarctic Oscillation, or Southern Hemisphere Annular Mode. We here confirm that this coherence extends to a more extensive network of tide gauges, and to parts of the continental shelf far from the shore, as measured by bottom pressure gauges. We use time series from an eddy-permitting ocean model with realistic forcing to relate the coherent mode to fluctuations in transport through Drake Passage, and confirm, using a 1degrees resolution barotropic model, that the fluctuations are predominantly due to barotropic dynamics, although baroclinic dynamics are expected to play an increasing role at interannual timescales.</t>
  </si>
  <si>
    <t>Bidston Observ, Proudman Oceanog Lab, Prenton CH43 7RA, Merseyside, England; Texas A&amp;M Univ, Dept Oceanog, College Stn, TX 77843 USA; Victoria Univ Wellington, Sch Earth Sci, Antarctic Res Ctr, Wellington 6001, New Zealand</t>
  </si>
  <si>
    <t>NERC National Oceanography Centre; Texas A&amp;M University System; Texas A&amp;M University College Station; Victoria University Wellington</t>
  </si>
  <si>
    <t>Hughes, CW (corresponding author), Bidston Observ, Proudman Oceanog Lab, Bidston Hill, Prenton CH43 7RA, Merseyside, England.</t>
  </si>
  <si>
    <t>Hughes, Chris W/A-3791-2010; Stepanov, Vladimir/P-8371-2019; Hughes, Chris/GQP-7479-2022</t>
  </si>
  <si>
    <t>Hughes, Chris W/0000-0002-9355-0233; Stepanov, Vladimir/0000-0002-0560-9312; Woodworth, Philip/0000-0002-6681-239X; Meredith, Michael/0000-0002-7342-7756</t>
  </si>
  <si>
    <t>MAY 6</t>
  </si>
  <si>
    <t>10.1029/2003GL017240</t>
  </si>
  <si>
    <t>678NG</t>
  </si>
  <si>
    <t>WOS:000182872900004</t>
  </si>
  <si>
    <t>Meredith, MP; Hughes, CW; Foden, PR</t>
  </si>
  <si>
    <t>Downslope convection north of Elephant Island, Antarctica: Influence on deep waters and dependence on ENSO</t>
  </si>
  <si>
    <t>WEDDELL SEA DEEP; BOTTOM WATER; VARIABILITY; CLIMATE; CIRCULATION</t>
  </si>
  <si>
    <t>We present a long time series (1992-2001) of bottom temperature from 1040m on the continental slope north of Elephant Island, Antarctic Peninsula. A strong annual signal is apparent, with minimum temperatures during or following the austral winter, and a range similar to that found in much shallower waters on the adjacent shelf. Individual convective events are observable as large-amplitude cold spikes that are confined to the period of seasonally coldest temperatures. These plumes are dense enough to seasonally displace the Circumpolar Deep Water, and directly inject cold water into the deep open ocean. The coldest water occurred when anomalous sea ice conditions were prevalent, caused by the strong 1997/98 ENSO event. We thus expect repeats of such strong convective events on ENSO timescales. The observed long-term warming and reduction in sea ice along the Peninsula may, however, act to suppress this mode of ventilating the deep Southern Ocean.</t>
  </si>
  <si>
    <t>Bidston Observ, Proudman Oceanog Lab, Wirral CH43 7RA, Merseyside, England</t>
  </si>
  <si>
    <t>NERC National Oceanography Centre</t>
  </si>
  <si>
    <t>mmm@pol.ac.uk; cwh@pol.ac.uk; prf@pol.ac.uh</t>
  </si>
  <si>
    <t>Hughes, Chris W/A-3791-2010; Hughes, Chris/GQP-7479-2022</t>
  </si>
  <si>
    <t>Hughes, Chris W/0000-0002-9355-0233; Meredith, Michael/0000-0002-7342-7756</t>
  </si>
  <si>
    <t>MAY 3</t>
  </si>
  <si>
    <t>10.1029/2003GL017074</t>
  </si>
  <si>
    <t>760VA</t>
  </si>
  <si>
    <t>WOS:000187854900004</t>
  </si>
  <si>
    <t>Hirawake, T; Kudoh, S; Aoki, S; Rintoul, SR</t>
  </si>
  <si>
    <t>Eddies revealed by SeaWiFS ocean color images in the Antarctic Divergence zone near 140°E -: art. no. 1458</t>
  </si>
  <si>
    <t>SOUTHERN-OCEAN; BIOOPTICAL PROPERTIES; PENINSULA WATERS</t>
  </si>
  <si>
    <t>[1] Eddy-like distributions of chlorophyll a were clearly detected in the Antarctic Divergence zone around 140degreesE by SeaWiFS ocean color images. The distribution was also supported by in-situ measurements. The eddy-like structure was associated with changes in surface and subsurface water mass properties. Extremely high levels of chlorophyll in coastal areas were transported and redistributed horizontally offshore by these eddies, and a significant effect of the huge biomass on the biological processes in the investigated area was expected. The lateral exchange between coastal and offshore waters driven by these eddies, may be an essential factor in the observed patchy structures in this region.</t>
  </si>
  <si>
    <t>Natl Inst Polar Res, Ctr Antarctic Environm Monitoring, Itabashi Ku, Tokyo 1738515, Japan; Natl Inst Polar Res, Arctic Environm Res Ctr, Itabashi Ku, Tokyo 1738515, Japan; CSIRO, Marine Res &amp; Antarctic Cooperat Res Ctr, Hobart, Tas, Australia</t>
  </si>
  <si>
    <t>Research Organization of Information &amp; Systems (ROIS); National Institute of Polar Research (NIPR) - Japan; Research Organization of Information &amp; Systems (ROIS); National Institute of Polar Research (NIPR) - Japan; Commonwealth Scientific &amp; Industrial Research Organisation (CSIRO)</t>
  </si>
  <si>
    <t>Hirawake, T (corresponding author), Natl Inst Polar Res, Ctr Antarctic Environm Monitoring, Itabashi Ku, 9-10 Kaga 1, Tokyo 1738515, Japan.</t>
  </si>
  <si>
    <t>Aoki, Shigeru/D-9105-2012; Rintoul, Stephen R/A-1471-2012</t>
  </si>
  <si>
    <t>Rintoul, Stephen R/0000-0002-7055-9876; Hirawake, Toru/0000-0003-0274-6642</t>
  </si>
  <si>
    <t>MAY 2</t>
  </si>
  <si>
    <t>10.1029/2003GL016996</t>
  </si>
  <si>
    <t>678GN</t>
  </si>
  <si>
    <t>WOS:000182858300008</t>
  </si>
  <si>
    <t>Luo, SD; Ku, TL</t>
  </si>
  <si>
    <t>Constraints on deep-water formation from the oceanic distributions of 10Be -: art. no. 3137</t>
  </si>
  <si>
    <t>beryllium 10; Be-10; deep-water production; particle scavenging and remineralization</t>
  </si>
  <si>
    <t>NORTH-ATLANTIC; PACIFIC-OCEAN; SOUTHERN-OCEAN; RADIOCARBON AGE; PA-231; SEA; TH-230; TRANSPORT; SECTOR; RATES</t>
  </si>
  <si>
    <t>[1] An analysis of the oceanic distribution of cosmogenic Be-10 shows that deep waters are formed by descending of cold, dense surface waters at a rate of similar to18 Sv (10(6) m(3) s(-1)) in the northern North Atlantic and similar to21 Sv (of which similar to17 Sv enters the Pacific) in the Antarctic over the last mixing cycle of similar to800 years, lending support to the estimates based on radiocarbon and nutrient distributions. It also indicates that deep-water production in the northern North Atlantic is similar to50% higher averaging over the recent &lt; 100 years than over the last mixing cycle, suggesting a possible increase in the thermohaline ventilation of the North Atlantic during the past century.</t>
  </si>
  <si>
    <t>Univ So Calif, Dept Earth Sci, Los Angeles, CA 90089 USA</t>
  </si>
  <si>
    <t>Univ So Calif, Dept Earth Sci, Los Angeles, CA 90089 USA.</t>
  </si>
  <si>
    <t>sluo@usc.edu</t>
  </si>
  <si>
    <t>10.1029/2002JC001670</t>
  </si>
  <si>
    <t>678JB</t>
  </si>
  <si>
    <t>WOS:000182862800005</t>
  </si>
  <si>
    <t>Viana, A; Figueiredo, A; Faugères, JC; Lima, A; Gonthier, E; Brehme, I; Zaragosi, S</t>
  </si>
  <si>
    <t>The Sao Tome deep-sea turbidite system (southern Brazil Basin):: Cenozoic seismic stratigraphy and sedimentary processes</t>
  </si>
  <si>
    <t>AAPG BULLETIN</t>
  </si>
  <si>
    <t>OBLIQUELY RIFTED MARGIN; ANTARCTIC BOTTOM WATER; VEMA CHANNEL; CONTINENTAL RISE; ATLANTIC OCEAN; SANTOS BASINS; FAN; CIRCULATION; PATTERNS; QUATERNARY</t>
  </si>
  <si>
    <t>The Sao Tome deep-sea turbidite system, elongated parallel to the rise of the south Brazilian continental margin, was first interpreted as a channel-levee system resulting from contour-current activity. Study of new seismic data permits the proposal of a stratigraphy for the system and a new interpretation of depositional processes. Three major depositional units have been recognized that are separated by major erosive discontinuities. The basal unit seems to be Paleocene to lower or middle Eocene, and the second one, subdivided into two subunits, is probably upper Oligocene to middle Miocene. Both units show superimposed north-to-south-channelized turbidite systems, with supply provided directly from a channel network that crosses the upper margin in the north. The third unit is upper Miocene(?) to Pliocene or Quaternary and is still under predominantly gravity processes: turbidite processes in the lower and upper subunits, and major mass-flow processes in the median subunit. The sediment sources are located either in the north or in the south, with sediment provided by major deep-sea channels. The base of the upper subunit is well marked by an erosive discontinuity (late Pliocene or Pliocene-Quaternary boundary). Impact of the contour currents is mainly recorded as widespread erosive surfaces (seismic discontinuities) correlated to global hydrological events and transparent or wavy deposits. Because this system contains a significant amount of upper Quaternary sands, it suggests the occurrence of petroleum reservoirs along the rise and the Sao Paulo Plateau in the lower continental slope.</t>
  </si>
  <si>
    <t>Petrobras SA, E&amp;P, UNEXP, BR-20271200 Rio De Janeiro, Brazil; Univ Fed Fluminense, Inst Geociencias, Lab Geol Marinha, BR-24210340 Niteroi, RJ, Brazil; Univ Bordeaux 1, Dept Geol &amp; Oceanog, UMR 5805, EPOC, F-33405 Talence, France; Univ Sao Paulo, Inst Oceanog, BR-05508900 Sao Paulo, Brazil</t>
  </si>
  <si>
    <t>Petrobras; Universidade Federal Fluminense; Centre National de la Recherche Scientifique (CNRS); CNRS - National Institute for Earth Sciences &amp; Astronomy (INSU); Universite de Bordeaux; Universidade de Sao Paulo</t>
  </si>
  <si>
    <t>Petrobras SA, E&amp;P, UNEXP, 500 Gen Canabarro St, BR-20271200 Rio De Janeiro, Brazil.</t>
  </si>
  <si>
    <t>aviana@petrobas.com.br; faugeres@geocean.u-bordeaux.fr</t>
  </si>
  <si>
    <t>ZARAGOSI, Sébastien/JXL-2488-2024; Figueiredo, Alberto G./AAL-2141-2021; Viana, Adriano Roessler/D-6016-2013; Zaragosi, Sébastien/D-6925-2011</t>
  </si>
  <si>
    <t>Zaragosi, Sebastien/0000-0002-1456-8129</t>
  </si>
  <si>
    <t>AMER ASSOC PETROLEUM GEOLOGIST</t>
  </si>
  <si>
    <t>1444 S BOULDER AVE, PO BOX 979, TULSA, OK 74119-3604 USA</t>
  </si>
  <si>
    <t>0149-1423</t>
  </si>
  <si>
    <t>1558-9153</t>
  </si>
  <si>
    <t>AAPG BULL</t>
  </si>
  <si>
    <t>AAPG Bull.</t>
  </si>
  <si>
    <t>MAY</t>
  </si>
  <si>
    <t>10.1306/12100201048</t>
  </si>
  <si>
    <t>676VR</t>
  </si>
  <si>
    <t>WOS:000182773700008</t>
  </si>
  <si>
    <t>de Sousa, CT; Kuga, HK; Setzer, AW</t>
  </si>
  <si>
    <t>Geo-location of transmitters using real data, Doppler shifts and least squares</t>
  </si>
  <si>
    <t>3rd IAA International Symposium on Small Satellites for Earth Observation</t>
  </si>
  <si>
    <t>APR 02-06, 2001</t>
  </si>
  <si>
    <t>BERLIN, GERMANY</t>
  </si>
  <si>
    <t>In this paper we describe a new method implemented at INPE (Brazilian Space Research Institute) for obtaining the geographic location of transmitters, using Doppler shifts and a batch estimator based on least-squares technique. Near real-time geographical location of transmitters through satellite can be useful for many applications, such as to monitor and rescue people in remote areas, and to track animals and oceanographic buoys for scientific research. A representative data set used for the tests was collected by means of a portable reception station located in the Antarctic Brazilian Station (Antarctica), using the NOAA-12 satellite as data relay, and a transmitter placed in the nearby Elephant Island. In addition, we obtained data collected in Cuiaba Satellite Reception Station (Central Brazil) using the Brazilian satellite SCD-2 and a nearby Data Collecting Platform transmitter. This paper addresses the modeling of the Doppler shift measurements, the satellite dynamic motion, and the non-linear least squares technique applied to the problem. The results and analysis of the geo-location method are shown and depicted here, demonstrating the location accuracy of 3.13+/-1.51 km and 2.74+/-2.41 Kin for the two data sets respectively, achieved by such a near real-time system. (C) 2003 Published by Elsevier Science Ltd.</t>
  </si>
  <si>
    <t>INPE, Brazilian Space Res Inst, Space Mech &amp; Control Div, DMC, BR-12201970 Sao Jose Dos Campos, SP, Brazil</t>
  </si>
  <si>
    <t>Instituto Nacional de Pesquisas Espaciais (INPE)</t>
  </si>
  <si>
    <t>de Sousa, CT (corresponding author), INPE, Brazilian Space Res Inst, Space Mech &amp; Control Div, DMC, CP 515, BR-12201970 Sao Jose Dos Campos, SP, Brazil.</t>
  </si>
  <si>
    <t>Kuga, Helio Koiti/F-4983-2011; Setzer, Alberto W/HCI-4388-2022</t>
  </si>
  <si>
    <t>Kuga, Helio Koiti/0000-0002-0259-0724; Setzer, Alberto W/0000-0002-2466-7366</t>
  </si>
  <si>
    <t>MAY-JUN</t>
  </si>
  <si>
    <t>9-12</t>
  </si>
  <si>
    <t>10.1016/S0094-5765(03)00072-9</t>
  </si>
  <si>
    <t>678GK</t>
  </si>
  <si>
    <t>WOS:000182858000033</t>
  </si>
  <si>
    <t>Gillis, TE; Moyes, CD; Tibbits, GF</t>
  </si>
  <si>
    <t>Sequence mutations in teleost cardiac troponin C that are permissive of high Ca2+ affinity of site II</t>
  </si>
  <si>
    <t>AMERICAN JOURNAL OF PHYSIOLOGY-CELL PHYSIOLOGY</t>
  </si>
  <si>
    <t>myocyte contractility; Antarctic icefish; salmonid</t>
  </si>
  <si>
    <t>SKELETAL-MUSCLE FIBERS; CALCIUM-BINDING SITES; LENGTH DEPENDENCE; REGULATORY DOMAIN; TEMPERATURE-DEPENDENCE; VENTRICULAR MUSCLE; SLOW SKELETAL; N-DOMAIN; SENSITIVITY; PH</t>
  </si>
  <si>
    <t>Cardiac myofibrils isolated from trout heart have been demonstrated to have a higher sensitivity for Ca2+ than mammalian cardiac myofibrils. Using cardiac troponin C (cTnC) cloned from trout and mammalian hearts, we have previously demonstrated that this comparatively high Ca2+ sensitivity is due, in part, to trout cTnC (ScTnC) having twice the Ca2+ affinity of mammalian cTnC (McTnC) over a broad range of temperatures. The amino acid sequence of ScTnC is 92% identical to McTnC. To determine the residues responsible for the high Ca2+ affinity, the function of a number of ScTnC and McTnC mutants was characterized by monitoring an intrinsic fluorescent reporter that monitors Ca2+ binding to site II (F27W). The removal of the COOH terminus ( amino acids 90-161) from ScTnC and McTnC maintained the difference in Ca2+ affinity between the truncated cTnC isoforms (ScNTnC and McNTnC). The replacement of Gln(29) and Asp(30) in ScNTnC with the corresponding residues from McNTnC, Leu and Gly, respectively, reduced Ca2+ affinity to that of McNTnC. These results demonstrate that Gln29 and Asp30 in ScTnC are required for the high Ca2+ affinity of site II.</t>
  </si>
  <si>
    <t>Simon Fraser Univ, Cardiac Membrane Lab, Burnaby, BC V5A 1S6, Canada; Simon Fraser Univ, Dept Biol Sci, Burnaby, BC V5A 1S6, Canada; Queens Univ, Dept Biol, Kingston, ON K7L 3N6, Canada; British Columbia Res Inst Childrens &amp; Womens Hlth, Vancouver, BC V5Z 4H4, Canada</t>
  </si>
  <si>
    <t>Simon Fraser University; Simon Fraser University; Queens University - Canada</t>
  </si>
  <si>
    <t>Tibbits, GF (corresponding author), Simon Fraser Univ, Cardiac Membrane Lab, 8888 Univ Dr, Burnaby, BC V5A 1S6, Canada.</t>
  </si>
  <si>
    <t>Tibbits, Glen/0000-0002-2586-3115</t>
  </si>
  <si>
    <t>AMER PHYSIOLOGICAL SOC</t>
  </si>
  <si>
    <t>9650 ROCKVILLE PIKE, BETHESDA, MD 20814 USA</t>
  </si>
  <si>
    <t>0363-6143</t>
  </si>
  <si>
    <t>AM J PHYSIOL-CELL PH</t>
  </si>
  <si>
    <t>Am. J. Physiol.-Cell Physiol.</t>
  </si>
  <si>
    <t>C1176</t>
  </si>
  <si>
    <t>C1184</t>
  </si>
  <si>
    <t>10.1152/ajpcell.00339.2002</t>
  </si>
  <si>
    <t>Cell Biology; Physiology</t>
  </si>
  <si>
    <t>663AK</t>
  </si>
  <si>
    <t>WOS:000181982400010</t>
  </si>
  <si>
    <t>Deger, AB; Gremm, TJ; Frimmel, FH; Mendez, L</t>
  </si>
  <si>
    <t>Optimization and application of SPME for the gas chromatographic determination of endosulfan and its major metabolites in the ng L-1 range in aqueous solutions</t>
  </si>
  <si>
    <t>ANALYTICAL AND BIOANALYTICAL CHEMISTRY</t>
  </si>
  <si>
    <t>solid-phase microextraction (SPME); gas chromatography; electron capture detection</t>
  </si>
  <si>
    <t>SOLID-PHASE MICROEXTRACTION; ORGANOPHOSPHORUS PESTICIDES; SAMPLE PREPARATION; MASS-SPECTROMETRY; WATER; ORGANOCHLORINE; EXTRACTION; INSECTICIDES</t>
  </si>
  <si>
    <t>In the present study an analytical method was optimized for the determination of alpha-endosulfan, beta-endosulfan, endosulfan sulfate, endosulfan ether and endosulfan lactone in small volumes of environmental aqueous samples using solid-phase microextraction (SPME) and gas chromatography-electron capture detection (GC-ECD). A 100 pm polydimethylsiloxane (PDMS) phase was used for the extraction. The limit of detection (LOD) for the analytes varied between 0.01 and 0.03 mug L-1 with a relative standard deviation of 3 to 11%. The influence of the ionic strength on the extraction efficiency was investigated for the individual compounds. alpha-Endosulfan, beta-endosulfan, endosulfan sulfate and endosulfan ether were extracted successfully without salt addition. The extraction efficiency of endosulfan lactone was improved with 30% NaCl content. A general decrease in extraction efficiency for alpha-endosulfan, beta-endosulfan, endosulfan sulfate and endosulfan ether with high NaCl content (20-30%) in the solution was observed due to glass surface adsorption. No effect of dissolved organic material (DOM) on the extraction efficiency was observed. The extraction coefficients changed between Log K=2.17 and 3.33. A sample from the Antarctic region was analyzed using the optimized GCECD/SPME method. To confirm the results obtained for the real sample a GC with a mass spectrometer (MS) was used. Endosulfan sulfate, the most toxic metabolite of endosulfan, was found in the sample at a concentration of 0.3 mug L-1.</t>
  </si>
  <si>
    <t>Univ Karlsruhe TH, Engler Bunte Inst, D-76131 Karlsruhe, Germany; Agr Univ La Molina, Environm Sci Dept, Lima, Peru</t>
  </si>
  <si>
    <t>Helmholtz Association; Karlsruhe Institute of Technology; University Nacional Agraria La Molina</t>
  </si>
  <si>
    <t>Univ Karlsruhe TH, Engler Bunte Inst, Engler Bunte Ring 1, D-76131 Karlsruhe, Germany.</t>
  </si>
  <si>
    <t>fritz.frimmel@ciw.uni-karlsruhe.de</t>
  </si>
  <si>
    <t>1618-2642</t>
  </si>
  <si>
    <t>1618-2650</t>
  </si>
  <si>
    <t>ANAL BIOANAL CHEM</t>
  </si>
  <si>
    <t>Anal. Bioanal. Chem.</t>
  </si>
  <si>
    <t>10.1007/s00216-003-1855-8</t>
  </si>
  <si>
    <t>Biochemical Research Methods; Chemistry, Analytical</t>
  </si>
  <si>
    <t>685DZ</t>
  </si>
  <si>
    <t>WOS:000183246700011</t>
  </si>
  <si>
    <t>Lam, MM; Rodger, AS</t>
  </si>
  <si>
    <t>An investigation into the correlation of geomagnetic storms with tropospheric parameters over the South Pole</t>
  </si>
  <si>
    <t>interplanetary physics; solar wind plasma; cosmic rays; atmospheric composition and structure; pressure, density and temperature</t>
  </si>
  <si>
    <t>SOLAR IRRADIANCE; COSMIC-RAYS; CLIMATE; TEMPERATURE</t>
  </si>
  <si>
    <t>We test the proposal that the Sun's magnetic activity, communicated via the solar wind, provides a link between solar variability and the Earth's climate in the Antarctic troposphere. The strength of a geomagnetic storm is one indicator of the state of the solar wind; therefore, we use the dates of 51 moderate to strong winter geomagnetic storms from the period 1961-1990 to conduct a series of superposed epoch analyses of the winter South Pole isobaric height and temperature, at pressures of between 100-500 mbar. Using Student's t-test to compare the mean value of the pre- and post-storm data sets, we find no evidence to support the hypothesis that there is a statistically-significant correlation between the onset of a geomagnetic storm and changes in the isobaric temperature or height of the troposphere and lower stratopshere over the South Pole during winter months. This concurs with a similar study of the variability of the troposphere and lower stratosphere over the South Pole (Lam and Rodger, 2002) which uses drops in the level of observed galactic cosmic ray intensity, known as Forbush decreases, as a proxy for solar magnetic activity instead of geomagnetic storms.</t>
  </si>
  <si>
    <t>Lam, MM (corresponding author), British Antarctic Survey, Nat Environm Res Council, Madingley Rd, Cambridge CB3 0ET, England.</t>
  </si>
  <si>
    <t>M.Lam@bas.ac.uk</t>
  </si>
  <si>
    <t>10.5194/angeo-21-1095-2003</t>
  </si>
  <si>
    <t>775NA</t>
  </si>
  <si>
    <t>Green Accepted, Green Submitted, gold</t>
  </si>
  <si>
    <t>WOS:000189046500003</t>
  </si>
  <si>
    <t>Blagoveshchensky, DV; Maltseva, OA; Rodger, AS</t>
  </si>
  <si>
    <t>Ionosphere dynamics over Europe and western Asia during magnetospheric substorms 1998-99</t>
  </si>
  <si>
    <t>ionosphere; ionospheric disturbances; magnetospheric physics; storms and substorms; radio science ionospheric physics</t>
  </si>
  <si>
    <t>THERMOSPHERE; PROPAGATION; STORMS</t>
  </si>
  <si>
    <t>The temporal and spatial behaviour of the ionospheric parameters foF2 and h'F during isolated substorms are examined using data from ionospheric stations distributed across Europe and western Asia. The main purpose is finding the forerunners of the substorm disturbances and a possible prediction of these disturbances. During the period from March 1998 to March 1999, 41 isolated substorms with intensities I = 60 - 400 nT were identified and studied. The study separated occasions when the local magnetometers were affected by the eastward electrojet (positive substorms) from those influenced by the westward electrojet (negative substorms). ne deviations of the ionospheric parameters from their monthly medians (DeltafoF2 and Deltah'F) have been used to determine the variations through the substorm. Substorm effects occurred simultaneously (&lt; 1 h) across the entire observatory network. For negative substorms, 6 h before substorm onset, To, reaching a maximum 2-3 h before T-o A second maximum occurs 1-2 h after the end of the substorm. The Deltah'F values 3-4 h before To have a small minimum but then increase to a maximum at To. There is a second maximum at the end of the expansion phase before deltah'F drops to a minimum 2-3 h after ending the expansion phase. For positive substorms, the timing of the first maximum of the deltafoF2 and deltah'F values depends on the substorm length - if it is longer, the position is closer to To. The effects on the ionosphere are significant: DeltafoF2 and Deltah'F reach 2-3 MHz (deltafoF2 = 50-70% from median value) and 50-70 km (8 h'F = 20-30% from median value), respectively. Regular patterns of occurrence ahead of the first substorm signature on the magnetometer offer an excellent possibility to improve short-term forecasting of radio wave propagation conditions.</t>
  </si>
  <si>
    <t>Univ Aerosp Instrumentat, St Petersburg 190000, Russia; Rostov State Univ, Inst Phys, Rostov Na Donu, Russia; British Antarctic Survey, Cambridge CB3 0ET, England</t>
  </si>
  <si>
    <t>Saint Petersburg State University of Aerospace Instrumentation; Southern Federal University; UK Research &amp; Innovation (UKRI); Natural Environment Research Council (NERC); NERC British Antarctic Survey</t>
  </si>
  <si>
    <t>Blagoveshchensky, DV (corresponding author), Univ Aerosp Instrumentat, St Petersburg 190000, Russia.</t>
  </si>
  <si>
    <t>dvb@aanet.ru</t>
  </si>
  <si>
    <t>10.5194/angeo-21-1141-2003</t>
  </si>
  <si>
    <t>WOS:000189046500007</t>
  </si>
  <si>
    <t>Bowman, JP; McCammon, SA; Gibson, JAE; Robertson, L; Nichols, PD</t>
  </si>
  <si>
    <t>Prokaryotic metabolic activity and community structure in Antarctic continental shelf sediments</t>
  </si>
  <si>
    <t>SULFATE-REDUCING BACTERIA; EXTRACELLULAR ENZYME-ACTIVITY; AFRICAN UPWELLING REGION; DEEP-SEA SEDIMENTS; MARINE-SEDIMENTS; ORGANIC-MATTER; MICROBIAL DIVERSITY; ROSS SEA; RNA; BIOMASS</t>
  </si>
  <si>
    <t>The prokaryote community activity and structural characteristics within marine sediment sampled across a continental shelf area located off eastern Antarctica (66degreesS, 143degreesE; depth range, 709 to 964 m) were studied. Correlations were found between microbial biomass and aminopeptidase and chitinase rates, which were used as proxies for microbial activity. Biomass and activity were maximal within the 0- to 3-cm depth range and declined rapidly with sediment depths below 5 cm. Most-probable-number counting using a dilute carbohydrate-containing medium recovered 1.7 to 3.8% of the sediment total bacterial count, with mostly facultatively anaerobic psychrophiles cultured. The median optimal growth temperature for the sediment isolates was 15degreesC. Many of the isolates identified belonged to genera characteristic of deep-sea habitats, although most appear to be novel species. Phospholipid fatty acid (PLFA) and isoprenoid glycerol dialkyl glycerol tetraether analyses indicated that the samples contained lipid components typical (of marine sediments, with profiles varying little between samples at the same depth; however, significant differences in PLFA profiles were found between depths of 0 to 1 cm and 13 to 15 cm, reflecting the presence of a different microbial community. Denaturing gradient gel electrophoresis (DGGE) analysis of amplified bacterial 16S rRNA genes revealed that between samples and across sediment core depths of 1 to 4 cm, the community structure appeared homogenous; however, principal-component analysis of DGGE patterns revealed that at greater sediment depths, successional shifts in community structure were evident. Sequencing of DGGE bands and rRNA probe hybridization analysis revealed that the major community members belonged to delta proteobacteria, putative sulfide oxidizers of the gamma proteobacteria, Flavobacteria, Planctomycetales, and Archaea. rRNA hybridization analyses also indicated that these groups were present at similar levels in the top layer across the shelf region.</t>
  </si>
  <si>
    <t>Univ Tasmania, Sch Agr Sci, Hobart, Tas 7001, Australia; CSIRO, Marine Div, Castray Esplanade, Hobart, Tas 7001, Australia; Cooperat Res Ctr Antarctic &amp; So Ocean, Hobart, Tas 7001, Australia</t>
  </si>
  <si>
    <t>Univ Tasmania, Sch Agr Sci, GPO Box 252-54, Hobart, Tas 7001, Australia.</t>
  </si>
  <si>
    <t>john.bowman@utas.edu.au</t>
  </si>
  <si>
    <t>Bowman, John P./ABF-5108-2020; Bowman, John P/C-2414-2014; Nichols, Peter D/C-5128-2011</t>
  </si>
  <si>
    <t>Bowman, John P./0000-0002-4528-9333; Bowman, John P/0000-0002-4528-9333;</t>
  </si>
  <si>
    <t>10.1128/AEM.69.5.2448-2462.2003</t>
  </si>
  <si>
    <t>677LD</t>
  </si>
  <si>
    <t>WOS:000182808300005</t>
  </si>
  <si>
    <t>Bowman, JP; McCuaig, RD</t>
  </si>
  <si>
    <t>Biodiversity, community structural shifts, and biogeography of prokaryotes within Antarctic continental shelf sediment</t>
  </si>
  <si>
    <t>16S RIBOSOMAL-RNA; SULFATE-REDUCING BACTERIA; MICROBIAL DIVERSITY; GENE SEQUENCE; PHYLOGENETIC ANALYSIS; MARINE-SEDIMENTS; SEA SEDIMENTS; ROSS SEA; ARCHAEA; ECOLOGY</t>
  </si>
  <si>
    <t>16S ribosomal DNA (rDNA) clone library analysis was conducted to assess prokaryotic diversity and community structural changes within a surficial sediment core obtained from an Antarctic continental shelf area (depth, 761 m) within the Mertz Glacier Polynya (MGP) region. Libraries were created from three separate horizons of the core (0- to 0.4-cm, 1.5- to 2.5-cm, and 20- to 21-cm depth positions). The results indicated that at the oxic sediment surface (depth, 0 to 0.4 cm) the microbial community appeared to be dominated by a small subset of potentially r-strategist (fast-growing, opportunistic) species, resulting in a lower-than-expected species richness of 442 operational taxonomic units (OTUs). At a depth of 1.5 to 2.5 cm, the species richness (1,128 OTUs) was much higher, with the community dominated by numerous gamma and delta proteobacterial phylotypes. At a depth of 20 to 21 cm, a clear decline in species richness (541 OTUs) occurred, accompanied by a larger number of more phylogenetically divergent phylotypes and a decline in the predominance of Proteobacteria. Based on rRNA and clonal abundance as well as sequence comparisons, syntrophic cycling of oxidized and reduced sulfur compounds appeared to be the dominant process in surficial MGP sediment, as phylotype groups putatively linked to these processes made up a large proportion of clones throughout the core. Between 18 and 65% of 16S rDNA phylotypes detected in a wide range of coastal and open ocean sediments possessed high levels of sequence similarity (&gt;95%) with the MGP sediment phylotypes, indicating that many sediment prokaryote phylotype groups defined in this study are ubiquitous in marine sediment.</t>
  </si>
  <si>
    <t>Univ Tasmania, Sch Agr Sci, Hobart, Tas 7001, Australia</t>
  </si>
  <si>
    <t>Bowman, John P./ABF-5108-2020; Bowman, John P/C-2414-2014</t>
  </si>
  <si>
    <t>Bowman, John P./0000-0002-4528-9333; Bowman, John P/0000-0002-4528-9333; McCuaig, Robert D./0000-0003-0124-4173</t>
  </si>
  <si>
    <t>10.1128/AEM.69.5.2463-2483.2003</t>
  </si>
  <si>
    <t>WOS:000182808300006</t>
  </si>
  <si>
    <t>Tanabe, S; Niimi, S; Minh, TB; Miyazaki, N; Petrov, EA</t>
  </si>
  <si>
    <t>Temporal trends of persistent organochlorine contamination in Russia: A case study of Baikal and Caspian seal</t>
  </si>
  <si>
    <t>ARCHIVES OF ENVIRONMENTAL CONTAMINATION AND TOXICOLOGY</t>
  </si>
  <si>
    <t>POLYCHLORINATED BIPHENYL CONGENERS; PHOCA-HISPIDA; NORTH PACIFIC; BIOACCUMULATION PROFILES; LAKE BAIKAL; RESIDUES; PCBS; ACCUMULATION; PESTICIDES; SEDIMENTS</t>
  </si>
  <si>
    <t>To examine temporal trends of organochlorine (OC) contamination in Lake Baikal and the Caspian Sea, concentrations of persistent OCs, such as DDT and its metabolites (DDTs), polychlorinated biphenyls (PCBs), hexachlorocyclohexane (HCHs), chlordane compounds (CHLs), tris(4-chlorophenyl)methane (TCPMe), and tris(4-chlorophenyl)methanol (TCPMOH), in the blubber of female seals were determined. Collections were made in 1992, 1993, 1995 and 1998. DDT concentrations in Baikal and Caspian seals showed a rapid decline during 1992 to 1998, while the concentrations of PCBs declined slowly. Elevated concentrations of HCHs were found in Caspian seals and there was no decline in their concentrations during 1993 to 1998, which could be due to extensive usage of HCHs around Caspian Sea in recent years. Trends of TCPMe and TCPMOH residues in Caspian seals were similar to that of DDTs. The pattern of PCB isomers in both Baikal seals and Caspian seals exhibited little temporal variations. Concentrations of non-ortho coplanar PCBs have declined at a faster rate than those of mono-ortho congeners. Compilation of available data on OC contamination in the North Pacific, Antarctic, Caspian Sea, Lake Baikal, and India suggested that the time trend of residues of contaminants during the 1990s were different among these regions. Residue levels of OC insecticides have declined slowly while PCBs remained at a steady state in the open oceans and the Antarctic. The magnitude of temporal variation in Lake Baikal seemed to be higher than that in the Caspian Sea. Residue concentrations of OCs have increased in Ganges River dolphins from 1989-92 to 1994-96, suggesting that tropical, developing countries are potential emission source of OCs.</t>
  </si>
  <si>
    <t>Ehime Univ, Ctr Marine Environm Studies, Matsuyama, Ehime 7908566, Japan; Univ Tokyo, Ocean Res Inst, Otsuchi Marine Res Ctr, Otsuchicho, Iwate 0281102, Japan; Russian Acad Sci, Siberian Div, Limnol Inst, Irkutsk 664033, Russia</t>
  </si>
  <si>
    <t>Ehime University; University of Tokyo; Russian Academy of Sciences; Irkutsk Science Centre of the Russian Academy of Sciences; Limnological Institute SB RAS</t>
  </si>
  <si>
    <t>Ehime Univ, Ctr Marine Environm Studies, Tarumi 3-5-7, Matsuyama, Ehime 7908566, Japan.</t>
  </si>
  <si>
    <t>shinsuke@agr.ehime-u.ac.jp</t>
  </si>
  <si>
    <t>Nomiyama, Kei/G-6950-2013; Tanabe, Shinsuke/G-6950-2013</t>
  </si>
  <si>
    <t>Nomiyama, Kei/0000-0002-8012-3806; Tanabe, Shinsuke/0000-0002-0911-6232; Miyazaki, Nobuyuki/0000-0001-8094-683X</t>
  </si>
  <si>
    <t>0090-4341</t>
  </si>
  <si>
    <t>1432-0703</t>
  </si>
  <si>
    <t>ARCH ENVIRON CON TOX</t>
  </si>
  <si>
    <t>Arch. Environ. Contam. Toxicol.</t>
  </si>
  <si>
    <t>10.1007/s00244-002-2092-4</t>
  </si>
  <si>
    <t>665CQ</t>
  </si>
  <si>
    <t>WOS:000182102400014</t>
  </si>
  <si>
    <t>Solomina, O; Calkin, PE</t>
  </si>
  <si>
    <t>Lichenometry as applied to Moraines in Alaska, USA, and Kamchatka, Russia</t>
  </si>
  <si>
    <t>HOLOCENE GLACIER ADVANCES; CENTRAL BROOKS RANGE; YUKON TERRITORY; WHITE-RIVER; HISTORY; GROWTH; GLACIATION; CANADA; CURVE; PENINSULA</t>
  </si>
  <si>
    <t>A selective review of lichenometry as used to date Holocene moraines in five diverse regions of Alaska and in southeastern Kamchatka suggests that growth curves for this North Pacific area may be improved by attention to several factors. These included lichen identification, control point number and distribution, radiocarbon calibration, alternative curve models, and compatibility of lichen growth rate with climate. Support for control points presented for Kamchatka and published for Alaska areas will benefit from supplementary control at and beyond the break from the great growth curve segments of the last centuries. With regard to alternative-linear, logarithmic, and composite curve-models drawn for the published lichenometric data, the composite (logarithmic and linear composite models) appear the best fit for the Brooks Range and Wrangell-St. Elias areas of slow growth and continental interior climates. Calibration of C-14 ages make minor changes in well-controlled curves, but differences may be marked where a single age supports the long-term portion of growth curves. Lichen subgenus Rhizocarpon section Geographicum and section Alpicola should, and usually can be, differentiated in North Pacific areas. Nevertheless, growth curves that may represent both yellow-green Rhizocarpons (e.g., central Brooks Range and southeastern Kamchatka) appear to allow derivation of reasonable surface dating where the taxa distribution is similar to that of the curves. Chronologies of glaciation based on lichenometry of moraines over the last millennium in these two areas across the Bering Sea are strikingly similar to each other and to more precisely dated tree-ring-based glacial chronologies in southern Alaska.</t>
  </si>
  <si>
    <t>Russian Acad Sci, Inst Geog, IGRAN, Moscow 109017, Russia; Univ Colorado, Inst Arctic &amp; Alpine Res, Boulder, CO 80309 USA</t>
  </si>
  <si>
    <t>Institute of Geography, Russian Academy of Sciences; Russian Academy of Sciences; University of Colorado System; University of Colorado Boulder</t>
  </si>
  <si>
    <t>Russian Acad Sci, Inst Geog, IGRAN, Staromonetny 29, Moscow 109017, Russia.</t>
  </si>
  <si>
    <t>solomina@gol.ru; calkin@spot.colorado.edu</t>
  </si>
  <si>
    <t>Solomina, Olga N/J-8353-2013</t>
  </si>
  <si>
    <t>10.1657/1523-0430(2003)035[0129:LAATMI]2.0.CO;2</t>
  </si>
  <si>
    <t>697PQ</t>
  </si>
  <si>
    <t>WOS:000183952800001</t>
  </si>
  <si>
    <t>Bowman, WD; Bahnj, L; Damm, M</t>
  </si>
  <si>
    <t>Alpine landscape variation in foliar nitrogen and phosphorus concentrations and the relation to soil nitrogen and phosphorus availability</t>
  </si>
  <si>
    <t>NUTRIENT AVAILABILITY; PLANT-GROWTH; LONG-TERM; EXCHANGE; TUNDRA; VEGETATION; TRANSFORMATIONS; SUCCESSION; STORAGE; RANGE</t>
  </si>
  <si>
    <t>We tested the hypothesis that foliar nitrogen and phosphorus concentrations are correlated with estimates of soil nutrient supply, a common assumption in studies of plant nutrient relations. This hypothesis was tested in an alpine ecosystem characterized by a wide range of soil nutrient availabilities using 3 herbaceous plants with widespread distributions. Rates of soil N and P supply were estimated using ion exchange resin bags deployed during the first half of the growing season, when the majority of plant nutrient uptake occurs. Measurements were made at 3 to 5 landscape positions (vegetation types) at 3 sites: a valley bottom that was glaciated until 12,000 yr ago and 2 ridgetop sites, I with deposits of Tertiary age and I that was not glaciated during the Pleistocene. Foliar N and P concentrations generally were not correlated with rates of soil N and P supply. We present several hypotheses to explain the lack of a correlation between soil N and P supply and foliar N and P concentrations, most notably the probable buffering between soil nutrient supply and foliar nutrient concentrations by belowground nutrient storage in plants and the use of organic N by plants. Foliar N:P ratios reflected the specific nutrient limitation of production for I of the 3 study species. Rates of soil N supply were associated with landscape position, indicating that microclimatic and/or plant species effects were the most important controls over spatial variation in N supply. Rates of P supply differed significantly among valley and ridge locations, but not with landscape position. Soil age and eolian deposition of dust probably differ between these collection sites and may explain the differences in soil P supply. These results suggest that caution should be used in estimating soil fertility and specific nutrient limitations of growth based on foliar nutrient concentrations in herbaceous communities.</t>
  </si>
  <si>
    <t>Univ Colorado, Inst Arctic &amp; Alpine Res, Mt Res Stn, Boulder, CO 80309 USA; Univ Colorado, Dept Environm Populat &amp; Organism Biol, Boulder, CO 80309 USA; Columbia Univ, Palisades, NY 10964 USA; Univ Colorado Museum, Museum Field Studies Program, Boulder, CO 80309 USA</t>
  </si>
  <si>
    <t>University of Colorado System; University of Colorado Boulder; University of Colorado System; University of Colorado Boulder; Columbia University; University of Colorado System; University of Colorado Boulder</t>
  </si>
  <si>
    <t>Univ Colorado, Inst Arctic &amp; Alpine Res, Mt Res Stn, Boulder, CO 80309 USA.</t>
  </si>
  <si>
    <t>bowman@spot.colorado.edu</t>
  </si>
  <si>
    <t>10.1657/1523-0430(2003)035[0144:ALVIFN]2.0.CO;2</t>
  </si>
  <si>
    <t>WOS:000183952800002</t>
  </si>
  <si>
    <t>Edenius, L; Vencatasawmy, CP; Sandström, P; Dahlberg, U</t>
  </si>
  <si>
    <t>Combining satellite imagery and ancillary data to map snowbed vegetation important to reindeer Rangifer tarandus</t>
  </si>
  <si>
    <t>MUSKOX HABITAT; LANDSAT; CARIBOU; CLASSIFICATION; MODELS</t>
  </si>
  <si>
    <t>Remote sensing provides a viable alternative for mapping vegetation in the Arctic because it allows for the mapping of discontinuous distribution of cover types over different spatial scales. In this paper we present a statistical method to map the distribution of important cover types for the reindeer Rangifer tarandus during summer in northernmost Sweden using IRS 1D-LISS satellite imagery. We exemplify our method with modeling of the distribution of snowbed vegetation, the cover type used most intensively by the reindeer in the study area. An autologistic regression model that incorporates the spatial structure of the data is used to combine the field data and the satellite image data. The terrain effects in the satellite image are accounted for in the regressions using a digital elevation model (DEM). We produced a fine-scaled coverage depicting the probability of occurrence of snowbed vegetation as a continuous variable at the pixel level. The accuracy of mapping snowbed vegetation was 69-77%, depending on the data used. We conclude that small-scale, pixel-wise classification modeling may be useful for depicting sparsely occurring cover types, some of which may be important determinants of range quality for reindeer.</t>
  </si>
  <si>
    <t>Swedish Univ Agr Sci, Dept Anim Ecol, SE-90183 Umea, Sweden; Swedish Univ Agr Sci, Dept Forest Resource Management &amp; Geomat, SE-90183 Umea, Sweden; Abisko Sci Res Stn, Climate Impact Res Ctr, SE-98107 Abisko, Sweden</t>
  </si>
  <si>
    <t>Swedish University of Agricultural Sciences; Swedish University of Agricultural Sciences</t>
  </si>
  <si>
    <t>Swedish Univ Agr Sci, Dept Anim Ecol, SE-90183 Umea, Sweden.</t>
  </si>
  <si>
    <t>lars.edenius@szooek.slu.se</t>
  </si>
  <si>
    <t>Sandstrom, Per/0000-0003-0977-0071</t>
  </si>
  <si>
    <t>10.1657/1523-0430(2003)035[0150:CSIAAD]2.0.CO;2</t>
  </si>
  <si>
    <t>WOS:000183952800003</t>
  </si>
  <si>
    <t>Tinner, W; Theurillat, JP</t>
  </si>
  <si>
    <t>Uppermost limit, extent, and fluctuations of the timberline and treeline ecocline in the Swiss Central Alps during the past 11,500 years</t>
  </si>
  <si>
    <t>FOREST-FIRES; CHARCOAL; HOLOCENE; POLLEN; DEPOSITION; VEGETATION; TRANSPORT; SEDIMENTS</t>
  </si>
  <si>
    <t>Pollen and macrofossils were analyzed at two sites above today's treeline (or tree limit) in the Swiss Central Alps (Gouille Loere, 2503 In a.s.l., and Lengi Egga, 2557 m a.s.l.) to test two contrasting hypotheses about the natural formation of timberline (the upper limit of closed forest) in the Alps. Our results revealed that Pinus cembra-Larix decidua forests near timberline were rather closed between 9000 and 2500 B.C. (9600-4000 C-14 yr BP), when timberline fluctuations occurred within a belt 100-150 In above today's tree limit. The treeline ecocline above timberline was characterized by the mixed occurrence of tree, shrub, dwarf-shrub, and herbaceous species, but it did not encompass more than 100-150 altitudinal meters. The uppermost limit reached by timberline and treeline during the Holocene was ca. 2420 and 2530 m, respectively, i.e., about 120 to 180 m higher than today. Between 3500 and 2500 B.C.(4700-4000 C-14 yr BP) timberline progressively sank by about 300 m, while treeline was lowered only ca. 100 m. This change led to an enlargement of the treeline-ecocline belt (by ca. 300 m) after 2500 B.C. (4000 14C yr BP). Above the treeline ecocline, natural meadows dominated by dwarf shrubs (e.g., Salix herbacea) and herbaceous species (e.g., Helianthemum, Taraxacum, Potentilla, Leontodon L, Cerastium alpinum I., Cirsium spinosissimum, Silene exscapa I., and Saxifraga stellaris) have been present since at least 11,000 cal yr ago. In these meadows tree and tall shrub species (&gt;0.5 m) never played a major role. These results support the conventional hypothesis of a narrow ecocline with rather sharp upper timberline and treeline boundaries and imply that today's treeless alpine communities in the Alps are close to a natural stage. Pollen (percentages and influx), stomata, and charcoal data may be useful for determining whether or not a site was treeless. Nevertheless, a reliable and detailed record of past local vegetation near and above timberline is best achieved through the inclusion of macrofossil analysis.</t>
  </si>
  <si>
    <t>Univ Bern, Inst Pflanzenwissensch, Abt Palaookol, CH-3013 Bern, Switzerland; Univ Geneva, Dept Bot &amp; Biol Vegetale, Lab Biogeog, CH-1292 Chambesy, Switzerland; Fdn JM Aubert, Ctr Alpien Phytogeog, CH-1938 Champex, Switzerland</t>
  </si>
  <si>
    <t>University of Bern; University of Geneva</t>
  </si>
  <si>
    <t>Univ Bern, Inst Pflanzenwissensch, Abt Palaookol, Altenbergrain 21, CH-3013 Bern, Switzerland.</t>
  </si>
  <si>
    <t>Willy.Tinner@ips.unibe.ch</t>
  </si>
  <si>
    <t>Tinner, Willy/F-6727-2013; Theurillat, Jean-Paul/ABV-4830-2022</t>
  </si>
  <si>
    <t>Tinner, Willy/0000-0001-7352-0144; Theurillat, Jean-Paul/0000-0002-1843-5809</t>
  </si>
  <si>
    <t>10.1657/1523-0430(2003)035[0158:ULEAFO]2.0.CO;2</t>
  </si>
  <si>
    <t>WOS:000183952800004</t>
  </si>
  <si>
    <t>Yamaguchi, S; Naruse, R; Matsumoto, T; Ohno, H</t>
  </si>
  <si>
    <t>Multiday variations in flow velocity at Glaciar Soler, northern Patagonia, Chile</t>
  </si>
  <si>
    <t>SUBGLACIAL WATER-PRESSURE; SHORT-TERM VELOCITY; SEA-LEVEL; SOUTH-AMERICA; SURFACE VELOCITY; STORGLACIAREN; SWEDEN; FINDELENGLETSCHER; SWITZERLAND; MECHANISM</t>
  </si>
  <si>
    <t>Ice flow speeds were measured at Glaciar Soler in northern Patagonia during the middle of the melt season (November-December) in 1998 and compared to data from 1985. In 1998 the surface flow speed was greater at all survey points, yet the ice was about 40 m thinner; the greater melt rate in 1998 probably explains these differences because of the effect of melt rate on basal sliding speed. Multiday variations in surface speed were well correlated with daily variations in surface water input, which is the sum of melt rate and rainfall. Although the basal sliding speeds vary from place to place, we obtained similar linear relationships between basal sliding speed and surface water input. This result indicates the possibility of taking account of basal sliding as a function of surface water input.</t>
  </si>
  <si>
    <t>Hokkaido Univ, Inst Low Temp Sci, Kita Ku, Sapporo, Hokkaido 0600819, Japan</t>
  </si>
  <si>
    <t>Hokkaido University</t>
  </si>
  <si>
    <t>Yamaguchi, S (corresponding author), Natl Res Inst Earth Sci &amp; Disaster Prevent, Nagaoka Inst Snow &amp; Ice Studies, Suyoshi Machi, Nagaoka, Niigata 9400821, Japan.</t>
  </si>
  <si>
    <t>10.1657/1523-0430(2003)035[0170:MVIFVA]2.0.CO;2</t>
  </si>
  <si>
    <t>WOS:000183952800005</t>
  </si>
  <si>
    <t>Ingólfsson, O; Hjort, C; Humlum, O</t>
  </si>
  <si>
    <t>Glacial and climate history of the Antarctic Peninsula since the Last Glacial Maximum</t>
  </si>
  <si>
    <t>SOUTH-SHETLAND-ISLANDS; ABANDONED PENGUIN COLONIES; KING GEORGE ISLAND; GROUNDED ICE-SHEET; JAMES-ROSS-ISLAND; LATE PLEISTOCENE; PALMER-DEEP; HOLOCENE DEGLACIATION; ENVIRONMENTAL-CHANGE; SEA</t>
  </si>
  <si>
    <t>During the Last Glacial Maximum (LGM), ice thickened considerably and expanded toward the outer continental shelf around the Antarctic Peninsula. Deglaciation occurred between &gt;14 ka BP and ca. 6 ka BP, when interglacial climate was established in the region. Deglaciation of some local sites was as recent as 4-3 ka BP. After a climate optimum, peaking ca. 4-3 ka BP, a distinct climate cooling occurred. It is characterized at a number of sites by expanding glaciers and ice shelves. Rapid warming during the past 50 yr may be causing instability of some Antarctic Peninsula ice shelves. Detailed reconstructions of the glacial and climatic history of the Antarctic Peninsula since LGM are hampered by scarcity of available archives, low resolution of many datasets, and problems in dating samples. Consequently, the configuration of LGM ice sheets, pattern of subsequent deglaciation, and environmental changes are poorly constrained both temporally and spatially.</t>
  </si>
  <si>
    <t>Univ Iceland, Dept Geol &amp; Geog, IS-101 Reykjavik, Iceland; Lund Univ, Dept Quaternary Geol, SE-22362 Lund, Sweden; Univ Courses Svalbard, N-9170 Longyearbyen, Norway</t>
  </si>
  <si>
    <t>University of Iceland; Lund University</t>
  </si>
  <si>
    <t>oi@hi.is</t>
  </si>
  <si>
    <t>Ingolfsson, Olafur/L-8950-2015</t>
  </si>
  <si>
    <t>Ingolfsson, Olafur/0000-0001-8143-2005</t>
  </si>
  <si>
    <t>10.1657/1523-0430(2003)035[0175:GACHOT]2.0.CO;2</t>
  </si>
  <si>
    <t>WOS:000183952800006</t>
  </si>
  <si>
    <t>Boudreau, S; Payette, S; Morneau, C; Couturier, S</t>
  </si>
  <si>
    <t>Recent decline of the George River Caribou herd as revealed by tree-ring analysis</t>
  </si>
  <si>
    <t>POPULATION-DYNAMICS; FLUCTUATIONS; EXPANSION; LABRADOR; NORTH</t>
  </si>
  <si>
    <t>Dendroecological analysis is often used in animal ecology to infer population fluctuations. In this study, we used scars produced by caribou hooves on superficial roots of conifers to evaluate the recent activity of the George River caribou herd (GRCH). In 1999 and 2000, we sampled a minimum of 300 trampling scars at each of 31 lichen woodland sites distributed over the summer habitat of the GRCH. Among the 31 selected sites, 18 had been previously sampled in 1992-1993 and showed a good agreement in trends inferred in caribou activity with the 1999-2000 data set at the same sites. We evaluated the recent activity pattern of the GRCH using mean values of pooled scar-age data from the 31 sites. We inferred two major trends from the tree-ring data: that the GRCH experienced an important increase from 1975 to the late 1980s, and that this growth was followed by a major decline that began in the early 1990s. Radio-collar data from 1991 to 1998 also support the decline as no major change was found in the geographical distribution of the GRCH during this period.</t>
  </si>
  <si>
    <t>Univ Laval, Ctr Etud Nord, St Foy, PQ G1K 7P4, Canada; Univ Laval, Dept Biol, St Foy, PQ G1K 7P4, Canada; Minist Ressources Nat, Direct Environm Forestier, Quebec City, PQ G1S 4X4, Canada; Soc Faune &amp; Parcs Quebec, Direct Rech Faune, Quebec City, PQ G1R 5V7, Canada</t>
  </si>
  <si>
    <t>Laval University; Laval University</t>
  </si>
  <si>
    <t>Boudreau, S (corresponding author), Univ Laval, Ctr Etud Nord, St Foy, PQ G1K 7P4, Canada.</t>
  </si>
  <si>
    <t>Boudreau, Stephane/I-7838-2012</t>
  </si>
  <si>
    <t>Boudreau, Stephane/0000-0002-1035-6452</t>
  </si>
  <si>
    <t>10.1657/1523-0430(2003)035[0187:RDOTGR]2.0.CO;2</t>
  </si>
  <si>
    <t>WOS:000183952800007</t>
  </si>
  <si>
    <t>Bhattacharyya, A; Chaudhary, V</t>
  </si>
  <si>
    <t>Late-summer temperature reconstruction of the Eastern Himalayan Region based on tree-ring data of Abies densa</t>
  </si>
  <si>
    <t>WESTERN HIMALAYA; INDIA; KASHMIR</t>
  </si>
  <si>
    <t>Tree-ring analysis from Abies densa growing at the treeline in the Eastern Himalayan region reveals that temperature during late summer (July-September) plays a significant role in controlling the growth of this tree. Mean temperature of each year for these three months has been reconstructed based on this ring-width data. This record goes back to A.D. 1507; however data prior to A.D. 1757 are questionable because they are based on only one sample. The reconstructed temperature series for the last 237 yr shows annual to multiyear fluctuations punctuated with cool and warm periods. The warmest and coolest 10-yr periods of the entire span occurred in 1978-1987 (+0.25degreesC) and 1801-1810 (-0.31degreesC), respectively.</t>
  </si>
  <si>
    <t>Birbal Sahni Inst Paleobot, Lucknow 226007, Uttar Pradesh, India</t>
  </si>
  <si>
    <t>Department of Science &amp; Technology (India); Birbal Sahni Institute of Palaeobotany (BSIP)</t>
  </si>
  <si>
    <t>Birbal Sahni Inst Paleobot, 53 Univ Rd, Lucknow 226007, Uttar Pradesh, India.</t>
  </si>
  <si>
    <t>amalava@yahoo.com</t>
  </si>
  <si>
    <t>10.1657/1523-0430(2003)035[0196:LTROTE]2.0.CO;2</t>
  </si>
  <si>
    <t>WOS:000183952800008</t>
  </si>
  <si>
    <t>McCarthy, DP</t>
  </si>
  <si>
    <t>Estimating lichenometric ages by direct and indirect measurement of radial growth:: A case study of Rhizocarpon agg. at the Illecillewaet Glacier, British Columbia</t>
  </si>
  <si>
    <t>CANADIAN ROCKY-MOUNTAINS; LICHEN GROWTH; GEOGRAPHICUM; MORAINES; THALLI; CORDILLERA</t>
  </si>
  <si>
    <t>Data for Rhizocarpon agg. thalli at the Illecillewaet Glacier in British Columbia were used to see whether a single growth curve could provide accurate age estimates on either side of the Continental Divide, to determine whether modem and historical growth rates are similar, and to test a published model that estimates lichen age from short-term radial growth rates. A lichen growth curve was developed for Rhizocarpon agg. using thallussize data from 14 tree-ring and historically dated substrates. Comparison of this curve with one developed on similar materials 250 km north of this location found similar growth rates for the first 150 yr but slightly faster growth over the next 150 yr at the Illecillewaet site. Radial growth was also measured annually at an average of five points at 105 Rhizocarpon agg. thalli to see if direct-measurement data could be used to reliably estimate lichenometric ages. Radial growth from 1996-2000 ranged between 0.262 and 0.412 mm yr(-1) and showed large variation within and between thalli. Mathematical analysis found that radial growth was not a positive function of the radius, and linear regression incorrectly predicted that growth rates increase with thallus size. Ages estimated by linear extrapolation of the 4-yr mean growth rate were ca. 10 yr less than those estimated by the indirectly calibrated growth curve on surfaces &lt;200 yr old. Progressively less accurate minimum estimates were obtained using linear extrapolation of radial growth rates for old surfaces and thalli &gt;60-mm diameter. These findings lend support to the assumption that modem growth rates of Rhizocarpon lichens averaged over several years can potentially provide close estimates of lichenometric age.</t>
  </si>
  <si>
    <t>Brock Univ, Dept Earth Sci, St Catharines, ON L2S 3A1, Canada</t>
  </si>
  <si>
    <t>Brock University</t>
  </si>
  <si>
    <t>McCarthy, DP (corresponding author), Brock Univ, Dept Earth Sci, St Catharines, ON L2S 3A1, Canada.</t>
  </si>
  <si>
    <t>10.1657/1523-0430(2003)035[0203:ELABDA]2.0.CO;2</t>
  </si>
  <si>
    <t>WOS:000183952800009</t>
  </si>
  <si>
    <t>Holderegger, R; Stehlik, I; Smith, RIL; Abbott, RJ</t>
  </si>
  <si>
    <t>Populations of Antarctic hairgrass (Deschampsia antarctica) show low genetic diversity</t>
  </si>
  <si>
    <t>VASCULAR PLANTS; COLOBANTHUS-QUITENSIS; REPRODUCTION; RESISTANCE; RADIATION; GROWTH</t>
  </si>
  <si>
    <t>Populations of the only two flowering plants native to the Antarctic have recently increased in number and size possibly due to climate warming. We have undertaken a preliminary study of the population genetics of one of these species by surveying variation in amplified fragment length polymorphisms (AFLP) within the Antarctic Hairgrass, Deschampsia antarctica. Populations of D. antarctica from two widely separated regions of the maritime Antarctic, namely Signy Island in the north and Leonie Islands 1350 km farther south, were characterized by low genetic diversity (only 15.95% of total genetic variation found within populations). Populations from the northern and southern maritime Antarctic were genetically distinct from each other (F-CT = 37.10%), and low levels of historical gene flow occurred among them (Nm = 0.05). This genetic structure suggests that new populations of D. antarctica are founded by one or few individuals, which mainly reproduce by self-fertilization and/or vegetative propagation. Vegetative reproduction and selfing are, therefore, likely to have been key factors in the establishment of D. antarctica at new sites in the Antarctic during recent years.</t>
  </si>
  <si>
    <t>WSL Swiss Fed Res Inst, CH-8903 Birmensdorf, Switzerland; Univ St Andrews, Div Environm &amp; Evolutionary Biol, St Andrews KY16 9TH, Fife, Scotland; Univ Zurich, Inst Systemat Bot, CH-8008 Zurich, Switzerland; British Antarctic Survey, Cambridge CB3 0ET, England</t>
  </si>
  <si>
    <t>Swiss Federal Institutes of Technology Domain; Swiss Federal Institute for Forest, Snow &amp; Landscape Research; University of St Andrews; University of Zurich; UK Research &amp; Innovation (UKRI); Natural Environment Research Council (NERC); NERC British Antarctic Survey</t>
  </si>
  <si>
    <t>WSL Swiss Fed Res Inst, Zurcherstr 111, CH-8903 Birmensdorf, Switzerland.</t>
  </si>
  <si>
    <t>rolf.holderegger@wsl.ch</t>
  </si>
  <si>
    <t>10.1657/1523-0430(2003)035[0214:POAHDA]2.0.CO;2</t>
  </si>
  <si>
    <t>WOS:000183952800010</t>
  </si>
  <si>
    <t>Andrews, JT; Helgadóttir, G</t>
  </si>
  <si>
    <t>Late quaternary ice cap extent and deglaciation, Hunafloaall, Northwest Iceland:: Evidence from marine cores</t>
  </si>
  <si>
    <t>HIGH-RESOLUTION; VEDDE ASH; ENVIRONMENTAL-CHANGE; ICEBERG DISCHARGES; LAST DEGLACIATION; ATLANTIC; SEA; GREENLAND; RADIOCARBON; EVENTS</t>
  </si>
  <si>
    <t>The extent of the Last Glacial Maximum (LGM) and the timing of deglaciation around the Northwest Peninsula of Iceland are poorly understood. To provide information on these issues, we report sedimentological, foraminiferal, isotopic, and chronological data from marine piston cores B997-322PC, -323PC, -326PC1, and -326PC2 from a transect along ReykjafJardadll/Hunafloaall, a large trough that extends from the north Iceland coast toward the shelf break, ca. 66.8degreesN and 20degreesW. Cores B997-322PC, -323PC, and -326PC1 recovered diamictons (stiff, pebbly muds) overlain by fine-grained, postglacial muds, with intermittent occurrences of iceberg-rafted clasts and volcanic shards. No glacial constructional features (moraines) were noted on the seismic profiles. In the outermost cores (B997-322PC and 323PC) the diamictons contained small but persistent numbers of foraminifera which gave dates between 25 and 44 ka B.P.; foraminifera are absent in the diamicton at the base of core B997-326PCI. C-14 dates immediately above the diamictons have ages of ca. 13 ka B.P., which we take to represent the date of deglaciation of Hunafloaall and the withdrawal of the ice margin to the adjacent Strandir coast. Foraminifera are used to construct a bio- and isotope stratigraphy of cores B997-322PC and 323PC. In the diamictons, the fauna is dominated by cold-water benthic foraminifera including Elphidium excavatum and Cassidulina reniforme; Cassidulina neoteretis is also a persistent component. In B997-322PC and -323PC the deglacial sequence is interrupted by an interval of IRD deposition, a dramatic reduction in foraminiferal numbers, and heavy delta(18)O values; we equate this interval with the Younger Dryas cold event. Alternative working hypotheses are advanced for the origin of the diamictons and their importance to mapping the LGM ice extent. The 12-ky hiatus between the diamictons and the overlying marine muds indicates that the sequence is not conformable. The diamictons probably glacial-marine sediments overrun by late Weichselian ice streaming down the represent trough. The absence of a thick, deglacial sequence of glacial-marine sediments indicates a dramatic I retreat of the ice cap to the present coast by similar to 13 ka B.P.</t>
  </si>
  <si>
    <t>Univ Colorado, Inst Arctic &amp; Alpine Res, Boulder, CO 80309 USA; Univ Colorado, Dept Geol Sci, Boulder, CO 80309 USA; Marine Res Inst Iceland, IS-101 Reykjavik, Iceland</t>
  </si>
  <si>
    <t>University of Colorado System; University of Colorado Boulder; University of Colorado System; University of Colorado Boulder; Marine &amp; Freshwater Research Institute (MFRI)</t>
  </si>
  <si>
    <t>Univ Colorado, Inst Arctic &amp; Alpine Res, Box 450, Boulder, CO 80309 USA.</t>
  </si>
  <si>
    <t>andrewsj@spot.colorado.edu; Gudrun@hafro.is</t>
  </si>
  <si>
    <t>10.1657/1523-0430(2003)035[0218:LQICEA]2.0.CO;2</t>
  </si>
  <si>
    <t>WOS:000183952800011</t>
  </si>
  <si>
    <t>Arocena, JM; Hall, K</t>
  </si>
  <si>
    <t>Calcium phosphate coatings on the Yalour Islands, Antarctica: Formation and geomorphic implications</t>
  </si>
  <si>
    <t>CAPILLARY MOISTURE FLOW; DESERT VARNISH; BULL-PASS; ORIGIN; TEMPERATURE; DOLERITES; ELECTRON; VALLEY; REGION</t>
  </si>
  <si>
    <t>The formation of calcium phosphate rock coating and its influence in geomorphic processes were investigated on the Yalour Islands (Antarctica). amples of coating on the metamorphosed andesitic rock are composed of a similar to25 mum-thick, white, shiny, relatively hard layer of hydroxylapatite (Hp) with traces of calcite and quartz. Scanning electron micrographs, X-ray diffractograms, Fourier Transform Infrared (FTIR) spectra, and in situ analysis of the chemical composition of the coatings suggest that the calcium phosphate coating is formed mainly through the decomposition of penguin excrement from nearby penguin rookeries and subsequent precipitation of Hp in micropits on the surface of the rock from solutions containing high amounts of calcium and phosphorus. These coatings undergo abiotic and biotic weathering processes that lead to the accumulation of secondary Hp as flakes and infillings in microcracks. The coatings give the dark, metamorphosed andesitic rock a shiny, light-colored surface. The coatings can decrease the permeability and increase the albedo of the rock, thereby limiting moisture infiltration (into the rock) and changing the rock's temperature. Based on theoretical estimates, a change of albedo from 0.2 to 0.3 significantly decreases the radiative heating of the rock during the summer months. These changes to rock properties will influence geomorphic processes such as freeze-thaw, thus affecting rock weathering and hence the evolution of the local landscape.</t>
  </si>
  <si>
    <t>Univ No British Columbia, Prince George, BC V2N 4Z9, Canada</t>
  </si>
  <si>
    <t>University of Northern British Columbia</t>
  </si>
  <si>
    <t>Arocena, JM (corresponding author), Univ No British Columbia, 3333 Univ Way, Prince George, BC V2N 4Z9, Canada.</t>
  </si>
  <si>
    <t>10.1657/1523-0430(2003)035[0233:CPCOTY]2.0.CO;2</t>
  </si>
  <si>
    <t>WOS:000183952800012</t>
  </si>
  <si>
    <t>Totland, O; Schulte-Herbrüggen, B</t>
  </si>
  <si>
    <t>Breeding system, insect flower visitation, and floral traits of two alpine Cerastium species in Norway</t>
  </si>
  <si>
    <t>INBREEDING DEPRESSION; SELF-FERTILIZATION; POLLEN LIMITATION; SAXIFRAGA-OPPOSITIFOLIA; CROSS-FERTILIZATION; REPRODUCTION; PLANTS; POPULATIONS; POLLINATION; EVOLUTION</t>
  </si>
  <si>
    <t>Many alpine/arctic flowering plant species have presumably evolved the ability to self-pollinate as a reproductive assurance mechanism under harsh abiotic environmental conditions that restrict insect flower visitation. We compared self-pollination, pollen limitation, insect flower visitation, and dichogamy of low- and high-elevation populations of Cerastium alpinum, a species in established alpine communities, and Cerastium cerastoides, a pioneer species in disturbed habitats. Cerastium alpinum has large showy flowers, while C. cerastoides has smaller and paler flowers. The temporal separation of pollen release and stigma receptivity within a flower (dichogamy) was smallest in C. cerastoides, which was also more highly self-compatible. No pollen limitation on seed set occurred in any species, possibly due to their high selfing ability. Despite a substantially higher pollinator visitation to C. alpinum compared to C. cerastoides, the latter had the higher seed set. Pollen limitation, autogamy, and pollinator visitation did not differ between altitudes for either species. Differences in habitat and flower size, color, and development between the species are consistent with their different selling ability.</t>
  </si>
  <si>
    <t>Agr Univ Norway, Dept Biol &amp; Nat Conservat, N-1432 As, Norway; Univ Edinburgh, Inst Ecol &amp; Resource Management, Edinburgh EH9 3JU, Midlothian, Scotland</t>
  </si>
  <si>
    <t>Norwegian University of Life Sciences; University of Edinburgh</t>
  </si>
  <si>
    <t>Agr Univ Norway, Dept Biol &amp; Nat Conservat, POB 5014, N-1432 As, Norway.</t>
  </si>
  <si>
    <t>orjan.totiand@ibn.nlh.no</t>
  </si>
  <si>
    <t>10.1657/1523-0430(2003)035[0242:BSIFVA]2.0.CO;2</t>
  </si>
  <si>
    <t>WOS:000183952800013</t>
  </si>
  <si>
    <t>Halloy, SRP; Mark, AF</t>
  </si>
  <si>
    <t>Climate-change effects on alpine plant biodiversity: A New Zealand perspective on quantifying the threat</t>
  </si>
  <si>
    <t>TUSSOCK GRASSLANDS; SPECIES RICHNESS; CENTRAL OTAGO; SOUTH ISLAND; VEGETATION; FLORA; LIFE; COMMUNITIES; CANTERBURY; MANAGEMENT</t>
  </si>
  <si>
    <t>New Zealand's alpine region is populated by many (similar to613) species of vascular plants with a high endemism (similar to93%). To investigate the potential impact of climate warming, we used species-area relations to estimate current and projected vascular plant floras and tested model sensitivity scaling from the whole world to small alpine regions. Within their limitations, these models show that if the present mean temperature of similar to0.6degreesC higher than in 1900 were maintained, together with a large pool of exotic species, 40-70 species of native plants could become at risk. With a rise of 3degreesC, an approximate expectation for the following 100 yr, the total New Zealand alpine vascular flora could reach similar to550-685 species and lose 200-300 indigenous alpine species, the rest being exotic. Fragmentation of alpine areas could, over millennia, favor speciation, but in the short term, the loss of similar to80% of existing alpine islands will severely increase extinction risks. These model projections will be modified by downward extension of species through unplanned vegetation destruction, or following deliberate vegetation clearance to create habitats favorable to alpine species, as well as through a number of other as yet unquantified factors. These projections are not predictions of extinctions but rather broad probabilities of risk to a whole flora.</t>
  </si>
  <si>
    <t>New Zealand Inst Crop &amp; Food Res Ltd, Mosgiel, New Zealand; Univ Otago, Dept Bot, Dunedin, New Zealand</t>
  </si>
  <si>
    <t>New Zealand Institute for Plant &amp; Food Research Ltd; University of Otago</t>
  </si>
  <si>
    <t>New Zealand Inst Crop &amp; Food Res Ltd, Private Bag 50034, Mosgiel, New Zealand.</t>
  </si>
  <si>
    <t>halloys@crop.cri.nz</t>
  </si>
  <si>
    <t>Halloy, Stephan/AFS-6326-2022</t>
  </si>
  <si>
    <t>10.1657/1523-0430(2003)035[0248:CEOAPB]2.0.CO;2</t>
  </si>
  <si>
    <t>WOS:000183952800014</t>
  </si>
  <si>
    <t>Diolaiuti, G; D'Agata, C; Smiraglia, C</t>
  </si>
  <si>
    <t>Belvedere Glacier, Monte Rosa, Italian Alps: Tongue thickness and volume variations in the second half of the 20th century</t>
  </si>
  <si>
    <t>In studying the response of alpine glaciers to climate warming, the study of debris-covered glaciers is important in order to demonstrate that a negative feedback exists in the temperature-ablation relationship that is introduced by the increase in debris cover. In this paper, variations in the Belvedere Glacier tongue volume and thickness were quantified through a comparison of large-scale maps for 1957 and 1991. A volume increase of 22.7 3 million m was revealed, and there was a mean increase of 15 m in thickness. Thickening was greatest above 1830 m, and thinning occurred at the glacier front (1830-1770 m). The glacier terminus advanced only slightly. This particular evolution of the Belvedere tongue has been attributed to positive balances of the glacier created by favorable climatic conditions (increase in winter precipitation between the early 1970s and mid-1980s and lower summer temperatures in the 1960s and 1970s). After the mid-1980s, reduced precipitation and a simultaneous increase in temperatures led to a slight retreat of the glacier front in the early 1990s. However, these climatic conditions were not sufficient to bring about a significant reduction of the thickness of the glacier, partly owing to the debris cover, which reduced the role of ablation.</t>
  </si>
  <si>
    <t>Univ Milan, Dept Earth Sci, I-20133 Milan, Italy</t>
  </si>
  <si>
    <t>University of Milan</t>
  </si>
  <si>
    <t>Smiraglia, C (corresponding author), Univ Milan, Dept Earth Sci, Via Mangiagalli 34, I-20133 Milan, Italy.</t>
  </si>
  <si>
    <t>claudio.smiraglia@unimi.it</t>
  </si>
  <si>
    <t>Diolaiuti, Guglielmina/A-9422-2008</t>
  </si>
  <si>
    <t>Diolaiuti, Guglielmina/0000-0002-3883-9309; Smiraglia, Claudio/0000-0001-6635-2074; D'Agata, Carlo/0000-0002-3337-7301</t>
  </si>
  <si>
    <t>10.1657/1523-0430(2003)035[0255:BGMRIA]2.0.CO;2</t>
  </si>
  <si>
    <t>WOS:000183952800015</t>
  </si>
  <si>
    <t>Hagen, JO; Melvold, K; Pinglot, F; Dowdeswell, JA</t>
  </si>
  <si>
    <t>On the net mass balance of the glaciers and ice caps in Svalbard, Norwegian Arctic</t>
  </si>
  <si>
    <t>RADIOACTIVE LAYERS; SEA-LEVEL; SPITSBERGEN; ACCUMULATION; KONGSVEGEN; CLIMATE; SURGES</t>
  </si>
  <si>
    <t>The ice masses of Svalbard cover an area of ca. 36 600 km(2), and are thus among the largest glaciated areas in the Arctic. Annual mass balance measurements have been carried out on several Svalbard glaciers over up to 30 yr. However, these glaciers extend over only 0.5% of the total ice-covered area. The measured mean net balance has been negative and no changing trend has been observed. On some glaciers and larger ice caps, the mean net balance has also been measured at different altitudes by detecting radioactive reference layers from nuclear fallouts in 1963 and 1986 in shallow ice cores. The net balance/altitude curves have been estimated for thirteen different regions in Svalbard, and combined with digital elevation models of all Svalbard ice masses used to calculate the net balance in each 100-m altitude interval. The net loss of mass through iceberg calving was estimated and appears to be an important component of the net mass loss from Svalbard ice masses. The overall total net balance is slightly negative, -4.5 +/- 1 km(3) yr(-1), giving a specific net balance of ca. - 120 +/- 30 mm yr(-1) over the archipelago. The contribution of ice caps and glaciers on Svalbard to global sea-level change is, therefore, close to 0.01 mm yr(-1) as an average value over the last 30 years, which is less negative than former estimates.</t>
  </si>
  <si>
    <t>Univ Oslo, Dept Phys Geog, N-0316 Oslo, Norway; CNRS, Lab Glaciol &amp; Geophys Environm, F-38402 St Martin Dheres, France; Univ Cambridge, Scott Polar Res Inst, Cambridge CB2 1ER, England; Univ Cambridge, Dept Geog, Cambridge CB2 1ER, England</t>
  </si>
  <si>
    <t>University of Oslo; Centre National de la Recherche Scientifique (CNRS); University of Cambridge; University of Cambridge</t>
  </si>
  <si>
    <t>Hagen, JO (corresponding author), Univ Oslo, Dept Phys Geog, POB 1042 Blindern, N-0316 Oslo, Norway.</t>
  </si>
  <si>
    <t>Dowdeswell, Julian/0000-0003-1369-9482</t>
  </si>
  <si>
    <t>10.1657/1523-0430(2003)035[0264:OTNMBO]2.0.CO;2</t>
  </si>
  <si>
    <t>WOS:000183952800016</t>
  </si>
  <si>
    <t>Sinclair, BJ; Addo-Bediako, A; Chown, SL</t>
  </si>
  <si>
    <t>Climatic variability and the evolution of insect freeze tolerance</t>
  </si>
  <si>
    <t>BIOLOGICAL REVIEWS</t>
  </si>
  <si>
    <t>insect cold tolerance strategies; freeze tolerance; freeze intolerance; supercooling; ice nucleation; climatic variability; El Nino; sub-Antarctic; Southern Hemisphere; microclimate temperatures; evolution; adaptation</t>
  </si>
  <si>
    <t>NEW-ZEALAND ALPINE; CELATOBLATTA-QUINQUEMACULATA DICTYOPTERA; SUB-ANTARCTIC CATERPILLAR; MAORI HUTTON ORTHOPTERA; CRITICAL THERMAL LIMITS; GOLDENROD GALL FLY; COLD-HARDINESS; OVERWINTERING STRATEGIES; LATITUDINAL GRADIENT; WINTER SURVIVAL</t>
  </si>
  <si>
    <t>Insects may survive subzero temperatures by two general strategies: Freeze-tolerant insects withstand the formation of internal ice, while freeze-avoiding insects die upon freezing. While it is widely recognized that these represent alternative strategies to survive low temperatures, and mechanistic understanding of the physical and molecular process of cold tolerance are becoming well elucidated, the reasons why one strategy or the other is adopted remain unclear. Freeze avoidance is clearly basal within the arthropod lineages, and it seems that freeze tolerance has evolved convergently at least six times among the insects (in the Blattaria, Orthoptera, Coleoptera, Hymenoptera, Diptera and Lepidoptera). Of the pterygote insect species whose cold-tolerance strategy has been reported in the literature, 29% (69 of 241 species studied) of those in the Northern Hemisphere, whereas 85% (11 of 13 species) in the Southern Hemisphere exhibit freeze tolerance. A randomization test indicates that this predominance of freeze tolerance in the Southern Hemisphere is too great to be due to chance, and there is no evidence of a recent publication bias in favour of new reports of freeze-tolerant species. We conclude from this that the specific nature of cold insect habitats in the Southern Hemisphere, which are characterized by oceanic influence and climate variability must lead to strong selection in favour of freeze tolerance in this hemisphere. We envisage two main scenarios where it would prove advantageous for insects to be freeze tolerant. In the first, characteristic of cold continental habitats of the Northern Hemisphere, freeze tolerance allows insects to survive very low temperatures for long periods of time, and to avoid desiccation. These responses tend to be strongly seasonal, and insects in these habitats are only freeze tolerant for the overwintering period. By contrast, in mild and unpredictable environments, characteristic of habitats influenced by the Southern Ocean, freeze tolerance allows insects which habitually have ice nucleators in their guts to survive summer cold snaps, and to take advantage of mild winter periods without the need for extensive seasonal cold hardening. Thus, we conclude that the climates of the two hemispheres have led to the parallel evolution of freeze tolerance for very different reasons, and that this hemispheric difference is symptomatic of many wide-scale disparities in Northern and Southern ecological processes.</t>
  </si>
  <si>
    <t>Univ Stellenbosch, Dept Zool, Spatial Physiol &amp; Conservat Ecol Res Grp, ZA-7602 Matieland, South Africa; Univ North, UNIFY Program Biol, ZA-0727 Sovenga, South Africa</t>
  </si>
  <si>
    <t>Stellenbosch University; University of Limpopo</t>
  </si>
  <si>
    <t>Univ Stellenbosch, Dept Zool, Spatial Physiol &amp; Conservat Ecol Res Grp, Private Bag X1, ZA-7602 Matieland, South Africa.</t>
  </si>
  <si>
    <t>bjs@sun.ac.za</t>
  </si>
  <si>
    <t>Chown, Steven L/H-3347-2011; Sinclair, Brent J/C-6133-2012; Chown, Steven/ABD-7646-2021</t>
  </si>
  <si>
    <t>Addo-Bediako, Abraham/0000-0002-5055-8315; Sinclair, Brent/0000-0002-8191-9910</t>
  </si>
  <si>
    <t>1464-7931</t>
  </si>
  <si>
    <t>1469-185X</t>
  </si>
  <si>
    <t>BIOL REV</t>
  </si>
  <si>
    <t>Biol. Rev.</t>
  </si>
  <si>
    <t>10.1017/S1464793102006024</t>
  </si>
  <si>
    <t>692UH</t>
  </si>
  <si>
    <t>WOS:000183678300002</t>
  </si>
  <si>
    <t>Longhi, ML; Schloss, IR; Wiencke, C</t>
  </si>
  <si>
    <t>Effect of irradiance and temperature on photosynthesis and growth of two antarctic benthic diatoms, Gyrosigma subsalinum and Odontella litigiosa</t>
  </si>
  <si>
    <t>BOTANICA MARINA</t>
  </si>
  <si>
    <t>KING-GEORGE-ISLAND; CHLOROPHYLL FLUORESCENCE; SIGNY-ISLAND; POTTER COVE; INTERTIDAL MICROPHYTOBENTHOS; MARINE-SEDIMENTS; PAM FLUOROMETER; SOUTH-SHETLAND; LIGHT; ALGAE</t>
  </si>
  <si>
    <t>Light and temperature demands for photosynthesis and growth of two benthic diatoms from Potter Cove, a shallow bay in King George Island, South Shetland Islands (Antarctica), were determined in laboratory cultures. The species investigated were Gyrosigma subsalinum var.antarctica and the Antarctic endemic Odontella litigiosa. The algae exhibited different light requirements for growth and photosynthesis. G. subsalinum was adapted to low light conditions, with a high light utilisation coefficient (a) and low saturating photon irradiances for photosynthesis and growth (similar to25 mumol m(-2) s(-1) and 11 mumol m(-2) s(-1), respectively). Photosynthesis and growth in O. litigiosa were saturated at a photon irradiance of similar to100 mumol m(-2) s(-1). Both benthic diatoms exhibited extremely low upper survival temperature (UST, 5-7degreesC) and growth only occurred over a narrow range from 0 and 7degreesC. Optimal temperature for growth (0degreesC) was slightly lower than optimum temperature for photosynthesis (5 degreesC). The results suggest that G. subsalinum is well-adapted to the low light and constant low temperature conditions present in water depths below 10 m where it occurs. In contrast, O. litigiosa requires more light and is able to tolerate the higher temperatures typical of shallow waters and tide pools. The northern distribution limit of G. subsalinum is the 4 degreesC summer isotherm, i.e. at the northern boundary of the Antarctic region. In contrast, O. litigiosa could potentially also occur in the sub-Antarctic region up to the 7 degreesC summer isotherm.</t>
  </si>
  <si>
    <t>Inst Sci Mer Rimouski, Rimouski, PQ G5L 3A1, Canada; Inst Antartico Argentino, Buenos Aires, DF, Argentina; Consejo Nacl Invest Cient &amp; Tecn, RA-1033 Buenos Aires, DF, Argentina; Alfred Wegener Inst Polar &amp; Marine Res, D-27570 Bremerhaven, Germany</t>
  </si>
  <si>
    <t>Instituto Antartico Argentino; Consejo Nacional de Investigaciones Cientificas y Tecnicas (CONICET); Helmholtz Association; Alfred Wegener Institute, Helmholtz Centre for Polar &amp; Marine Research</t>
  </si>
  <si>
    <t>Longhi, ML (corresponding author), Inst Sci Mer Rimouski, 310 Allee Ursulines, Rimouski, PQ G5L 3A1, Canada.</t>
  </si>
  <si>
    <t>Schloss, Irene R./U-5411-2018</t>
  </si>
  <si>
    <t>Schloss, Irene R./0000-0002-5917-8925</t>
  </si>
  <si>
    <t>WALTER DE GRUYTER &amp; CO</t>
  </si>
  <si>
    <t>BERLIN</t>
  </si>
  <si>
    <t>GENTHINER STRASSE 13, D-10785 BERLIN, GERMANY</t>
  </si>
  <si>
    <t>0006-8055</t>
  </si>
  <si>
    <t>BOT MAR</t>
  </si>
  <si>
    <t>Bot. Marina</t>
  </si>
  <si>
    <t>10.1515/BOT.2003.025</t>
  </si>
  <si>
    <t>680ZN</t>
  </si>
  <si>
    <t>WOS:000183010100005</t>
  </si>
  <si>
    <t>Anderson, PS</t>
  </si>
  <si>
    <t>Fine-scale structure observed in a stable atmospheric boundary layer by Sodar and kite-borne tethersonde</t>
  </si>
  <si>
    <t>BOUNDARY-LAYER METEOROLOGY</t>
  </si>
  <si>
    <t>kite; layering; Sodar; stable boundary layer; tethersonde</t>
  </si>
  <si>
    <t>ANTARCTIC ICE SHELF; KINETIC-ENERGY; TURBULENCE; HALLEY; TEMPERATURE; STATION; WINTER; WAVES</t>
  </si>
  <si>
    <t>Co-located high resolution profiles of acoustic backscatter, wind vector and potential temperature are presented, measured within the stable atmospheric boundary layer over an Antarctic ice shelf. Acoustic profiles from a monostatic acoustic radar (Sodar) indicate complex structure within the boundary layer, whilst wind and temperature profiles from a tethersonde show corresponding bands of differing stability. Internal waves and fossil convection are shown to invalidate attempts to compare backscatter measurements with theoretical estimates based on local wind and temperature gradients, but during ideal conditions, a qualitative agreement is observed.</t>
  </si>
  <si>
    <t>Anderson, PS (corresponding author), British Antarctic Survey, Madingley Rd, Cambridge CB3 0ET, England.</t>
  </si>
  <si>
    <t>0006-8314</t>
  </si>
  <si>
    <t>BOUND-LAY METEOROL</t>
  </si>
  <si>
    <t>Bound.-Layer Meteor.</t>
  </si>
  <si>
    <t>10.1023/A:1022171009297</t>
  </si>
  <si>
    <t>639WC</t>
  </si>
  <si>
    <t>WOS:000180651600004</t>
  </si>
  <si>
    <t>Bargu, S; Silver, MW</t>
  </si>
  <si>
    <t>Field evidence of krill grazing on the toxic diatom genus Pseudo-nitzschia in Monterey Bay, California</t>
  </si>
  <si>
    <t>BULLETIN OF MARINE SCIENCE</t>
  </si>
  <si>
    <t>DOMOIC ACID; FEEDING-BEHAVIOR; ANTARCTIC KRILL; SEA LIONS; FOOD; IDENTIFICATION; COPEPODS; PSEUDODELICATISSIMA; PHYTOPLANKTON; ACCUMULATION</t>
  </si>
  <si>
    <t>Both the interactions between toxic phytoplankton and their grazers, and the transport of these toxins through the food chain are relatively poorly understood. Recently, species of the diatom Pseudo-nitzschia have been found to produce the neurotoxin domoic acid, which has caused detrimental effects to higher trophic levels in the food web. One of the key potential vectors for the toxin is the euphausiids (krill). To determine whether krill feed in nature on local species of Pseudo-nitzschia, we compared diatoms in the water to those in the gut of three species of euphausiids in July 1998 during a P pseudodelicatissima bloom and in the gut of one species of euphausiid in August 2000 during a R australis bloom in Monterey Bay, California. Our findings show that Pseudo-nitzschia was the most abundant diatom in water samples at both times and was also the dominant food in krill. Our findings show that Pseudo-nitzschia was the most abundant diatom in water samples at both times and was also the dominant food in krill, though these diatoms were more common in the diet of resident than in transient species of krill. Thus we demonstrate that krill may be a critical vector in the transmission of domoic acid to organisms at higher trophic levels, including squid, seabirds, and whales, since these predators normally consume krill in Monterey Bay.</t>
  </si>
  <si>
    <t>Univ Calif Santa Cruz, Dept Ocean Sci, Santa Cruz, CA 95064 USA</t>
  </si>
  <si>
    <t>Univ Calif Santa Cruz, Dept Ocean Sci, Earth &amp; Marine Sci Bldg,1156 High St, Santa Cruz, CA 95064 USA.</t>
  </si>
  <si>
    <t>sbargu@cats.ucsc.edu</t>
  </si>
  <si>
    <t>ROSENSTIEL SCH MAR ATMOS SCI</t>
  </si>
  <si>
    <t>MIAMI</t>
  </si>
  <si>
    <t>4600 RICKENBACKER CAUSEWAY, MIAMI, FL 33149 USA</t>
  </si>
  <si>
    <t>0007-4977</t>
  </si>
  <si>
    <t>1553-6955</t>
  </si>
  <si>
    <t>B MAR SCI</t>
  </si>
  <si>
    <t>Bull. Mar. Sci.</t>
  </si>
  <si>
    <t>750YR</t>
  </si>
  <si>
    <t>WOS:000187026500003</t>
  </si>
  <si>
    <t>Harvey, R</t>
  </si>
  <si>
    <t>The origin and significance of antarctic meteorites</t>
  </si>
  <si>
    <t>CHEMIE DER ERDE-GEOCHEMISTRY</t>
  </si>
  <si>
    <t>meteorites; antarctic meteorites; meteorite recovery; meteorite concentration mechanisms; meteorite flux; meteorite statistics; Antarctica; Antarctic climate; meteorite classification</t>
  </si>
  <si>
    <t>LAST GLACIAL MAXIMUM; ORDINARY CHONDRITES; PARENT BODY; VICTORIA LAND; ALLAN HILLS; ICE-SHEET; CARBONACEOUS CHONDRITE; MASS-DISTRIBUTION; MODERN FALLS; NOBLE-GASES</t>
  </si>
  <si>
    <t>More than 25,000 meteorite specimens have been recovered from Antarctica since systematic collection programs began in the mid 1970's. When properly recovered and curated, these specimens serve as a uniquely representative sample of the extraterrestrial material accreting to our planet, providing our best glimpse of the full lithological and geochemical breadth of the inner solar system. Antarctic meteorite concentrations are intimately linked to variations in climate and ice sheet behavior over the past several million years, with each individual icefield exhibiting distinct and often unique characteristics.</t>
  </si>
  <si>
    <t>Case Western Reserve Univ, Dept Geol Sci, Cleveland, OH 44106 USA</t>
  </si>
  <si>
    <t>University System of Ohio; Case Western Reserve University</t>
  </si>
  <si>
    <t>Case Western Reserve Univ, Dept Geol Sci, Cleveland, OH 44106 USA.</t>
  </si>
  <si>
    <t>rph@cwru.edu</t>
  </si>
  <si>
    <t>ELSEVIER GMBH, URBAN &amp; FISCHER VERLAG</t>
  </si>
  <si>
    <t>JENA</t>
  </si>
  <si>
    <t>OFFICE JENA, P O BOX 100537, 07705 JENA, GERMANY</t>
  </si>
  <si>
    <t>0009-2819</t>
  </si>
  <si>
    <t>1611-5864</t>
  </si>
  <si>
    <t>CHEM ERDE-GEOCHEM</t>
  </si>
  <si>
    <t>Chem Erde-Geochem.</t>
  </si>
  <si>
    <t>10.1078/0009-2819-00031</t>
  </si>
  <si>
    <t>705BL</t>
  </si>
  <si>
    <t>WOS:000184376300001</t>
  </si>
  <si>
    <t>Kahle, J; Zauke, GP</t>
  </si>
  <si>
    <t>Trace metals in Antarctic copepods from the Weddell Sea (Antarctica)</t>
  </si>
  <si>
    <t>zooplankton; background concentrations; atomic absorption spectroscopy; metals</t>
  </si>
  <si>
    <t>LIFE-CYCLE STRATEGIES; GREENLAND SEA; TOXICOKINETIC MODELS; AMPHIPOD COLLECTIVES; ESTUARINE AMPHIPODS; METRIDIA-GERLACHEI; CALANOIDES-ACUTUS; SOUTHERN-OCEAN; BOARD SHIP; NORTH-SEA</t>
  </si>
  <si>
    <t>The concentrations of Cd, Co, Cu, Ni, Pb and Zn were determined in the Antarctic copepods Rhincalanus gigas (Brady, 1883), Calanuspropinquus (Brady, 1883), Calanoides acutus (Giesbrecht, 1902), Metridia curticauda (Giesbrecht, 1889) and Metridia gerlachei (Giesbrecht, 1902). Samples were taken at seven different stations between 18.01.1999 and 19.02.1999. Metal concentrations in biological tissue were determined by graphite furnace atomic absorption spectroscopy (GFAAS) with Zeeman background correction and by flame AAS (air-acetylene) with deuterium background correction. We found high mean Cd concentrations in the Metridia species of about 10 mug Cd g(-1) and 3-6 mug Cd g(-1) in the other copepods. Co and Pb concentrations were low in all species investigated (&lt;0.1 mug Co g(-1) and &lt;1 mug Pb g(-1)). Zn concentrations were high in M. gerlachei and R. gigas (518 and 430 mug Zn g(-1)). In comparison to copepods from Arctic Seas (Fram Strait, Greenland Sea) and the North Sea, Cd and Cu concentrations appear higher in Antarctic copepods, while Ni and Pb concentrations are similar in both polar regions and Pb concentrations are higher in the North Sea. Variability between species and different regions are discussed. (C) 2003 Elsevier Science Ltd. All rights reserved.</t>
  </si>
  <si>
    <t>Carl von Ossietzky Univ Oldenburg, ICBM, FB Biol Geo &amp; Umweltwissensch, D-26111 Oldenburg, Germany</t>
  </si>
  <si>
    <t>Carl von Ossietzky Universitat Oldenburg</t>
  </si>
  <si>
    <t>Zauke, GP (corresponding author), Carl von Ossietzky Univ Oldenburg, ICBM, FB Biol Geo &amp; Umweltwissensch, Postfach 2503, D-26111 Oldenburg, Germany.</t>
  </si>
  <si>
    <t>10.1016/S0045-6535(02)00855-X</t>
  </si>
  <si>
    <t>652NU</t>
  </si>
  <si>
    <t>WOS:000181385900008</t>
  </si>
  <si>
    <t>Miao, BK; Lin, YT; Zhou, XH</t>
  </si>
  <si>
    <t>Type distribution pattern and pairing of ordinary chondrites from Grove Mountains, Antarctica</t>
  </si>
  <si>
    <t>meteorites; antarctica; Grove Mountains; paired meteorites; classification</t>
  </si>
  <si>
    <t>CLASSIFICATION; METAMORPHISM</t>
  </si>
  <si>
    <t>Twenty-eight meteorites were collected on blue ice in the Grove Mountains region, Antarctica, by the 16th Chinese Antarctic Research Expedition (CHINARE). 26 out of the stones are ordinary chondrites, and their chemical-petrographic types are assigned based on electron probe microanalyses, petrography and mineralogy. 6 of them are unequilibrated L-chondrites, and the other 20 chondrites are equilibrated, including 6 H-group (3 H4, 1 H5 and 2 H6), 9 L-group (3 L4, 1 L5 and 5 L6) and 5 LL-group (2 LL4 and 3 LL5). Detailed comparative study suggests that 10 of them (including other 2 chondrites collected by the 15th CHINARE) could be paired, and represent 5 individual fall events. Hence, all 32 meteorites collected from the Grove Mountains probably belong to 27 fall events, suggestive of meteorite transferring and concentrating processes. The Grove Mountains are likely a new meteorite-enriched region. Distribution patterns of chemical-petrographic type and mass of the Grove Mountains meteorites are significantly distinct from those found in other regions, indicative of their unique sources and/or concentration mechanism. However, more studies are required in order to clarify these differences.</t>
  </si>
  <si>
    <t>Chinese Acad Sci, Guangzhou Inst Geochem, Guangzhou 510640, Peoples R China; Chinese Acad Sci, Inst Geol &amp; Geophys, Beijing 100029, Peoples R China</t>
  </si>
  <si>
    <t>Chinese Academy of Sciences; Guangzhou Institute of Geochemistry, CAS; Chinese Academy of Sciences; Institute of Geology &amp; Geophysics, CAS</t>
  </si>
  <si>
    <t>lin, yt/IQT-6771-2023; Lin, Yangting/A-8845-2015</t>
  </si>
  <si>
    <t>10.1360/03wd0497</t>
  </si>
  <si>
    <t>698JL</t>
  </si>
  <si>
    <t>WOS:000183995400015</t>
  </si>
  <si>
    <t>Stouffer, RJ; Manabe, S</t>
  </si>
  <si>
    <t>Equilibrium response of thermohaline circulation to large changes in atmospheric CO2 concentration</t>
  </si>
  <si>
    <t>LAST GLACIAL MAXIMUM; DEEP-WATER CIRCULATION; CARBON-DIOXIDE; OCEAN CIRCULATION; EARTHS SURFACE; CLIMATE-CHANGE; COUPLED MODEL; ICE; SENSITIVITY; INCREASE</t>
  </si>
  <si>
    <t>This study evaluates the equilibrium response of a coupled ocean-atmosphere model to the doubling, quadrupling, and halving of CO2 concentration in the atmosphere. Special emphasis in the study is placed upon the response of the thermohaline circulation in the Atlantic Ocean to the changes in CO2 concentration of the atmosphere. The simulated intensity of the thermohaline circulation (THC) is similar among three quasi-equilibrium states with the standard, double the standard, and quadruple the standard amounts of CO2 concentration in the atmosphere. When the model atmosphere has half the standard concentration of CO2, however, the THC is very weak and shallow in the Atlantic Ocean. Below a depth of 3 km, the model oceans maintain very thick layer of cold bottom water with temperature close to -2 degreesC, preventing the deeper penetration of the THC in the Atlantic Ocean. In the Circumpolar Ocean of the Southern Hemisphere, sea ice extends beyond the Antarctic Polar front, almost entirely covering the regions of deepwater ventilation. In addition to the active mode of the THC, there exists another stable mode of the THC for the standard, possibly double the standard (not yet confirmed), and quadruple the standard concentration of atmospheric carbon dioxide. This second mode is characterized by the weak, reverse overturning circulation over the entire Atlantic basin, and has no ventilation of the entire subsurface water in the North Atlantic Ocean. At one half the standard CO, concentration, however, the intensity of the first mode is so weak that it is not certain whether there are two distinct stable modes or not. The paleoceanographic implications of the results obtained here are discussed as they relate to the signatures of the Cenozoic changes in the oceans.</t>
  </si>
  <si>
    <t>Princeton Univ, Geophys Fluid Dynam Lab, NOAA, Princeton, NJ 08544 USA; Princeton Univ, Program Atmospher &amp; Ocean Sci, Princeton, NJ 08544 USA</t>
  </si>
  <si>
    <t>Princeton University; National Oceanic Atmospheric Admin (NOAA) - USA; Princeton University; National Oceanic Atmospheric Admin (NOAA) - USA</t>
  </si>
  <si>
    <t>Stouffer, RJ (corresponding author), Princeton Univ, Geophys Fluid Dynam Lab, NOAA, POB 308,Forrestal Campus, Princeton, NJ 08544 USA.</t>
  </si>
  <si>
    <t>10.1007/s00382-002-0302-4</t>
  </si>
  <si>
    <t>690LL</t>
  </si>
  <si>
    <t>WOS:000183550600006</t>
  </si>
  <si>
    <t>Haranczyk, H; Grandjean, J; Olech, M; Michalik, M</t>
  </si>
  <si>
    <t>Freezing of water bound in lichen thallus as observed by 1H NMR.: II.: Freezing protection mechanisms in a cosmopolitan lichen Cladonia mitis and in Antarctic lichen species at different hydration levels</t>
  </si>
  <si>
    <t>COLLOIDS AND SURFACES B-BIOINTERFACES</t>
  </si>
  <si>
    <t>proton NMR; microheterogeneous systems; freezing protection; lichens; Cladonia mitis; Himantormia lugubris; Usnea aurantiaco-atra</t>
  </si>
  <si>
    <t>PROTON MAGNETIC-RELAXATION; CARBON-DIOXIDE EXCHANGE; ICE NUCLEATION ACTIVITY; MYCOBIONTS</t>
  </si>
  <si>
    <t>Proton NMR spectra at 300 MHz for dehydrated and hydrated thallus of Cladonia mitis Sandst. [ = C. arbuscula (Wallr.) Flot ssp. Mitis (Sandst.) Ruoss], Himantormia lugubris (Hue) Lamb and Usnea aurantiaco-atra (Jacq.) Bory were recorded. The temperature was decreased from room temperature down to -45 degreesC. Pulse length was set to pi/2 = 8.3 mus, which allowed the observation of tightly bound and loosely bound/or free water fraction, whereas the signal from solid matrix of thallus was reduced. In hydrated thallus a narrow Lorentzian line coming from loosely bound/free water fraction was recorded. For the temperature range between -5 and -20 degreesC a discontinuous increase in line halfwidths, accompanied by a decrease in area under the peak, was observed. This was attributed to the cooperative freezing of bulk water present in lichen thallus. In dehydrated thallus the NMR line consists of two components: a narrow, Lorentzian one (coming from loosely bound/free water fraction) and a broad line (from water tightly bound in lichen thallus). The overall area under peak remains unchanged down to -5 degreesC, and then between -5 and -20 degreesC it continuously decreases due to non-cooperative water immobilisation. As the temperature is decreased, for temperatures above -5 degreesC, the contribution made by the broad line component increases at the expense of the narrow line component. The mechanism of loosely-to-tightly bound water transfer is, at least partially, responsible for the freeze-protection of thallus in the lichen species investigated. No significant differences between the freeze protecting loosely-to-tightly bound water transfer mechanism of Antarctic lichens and that of cosmopolitan lichens was noticed. (C) 2002 Elsevier Science B.V. All rights reserved.</t>
  </si>
  <si>
    <t>Jagiellonian Univ, Inst Phys, PL-30059 Krakow, Poland; Univ Liege, COSM, Inst Chim B6A, Liege, Belgium; Jagiellonian Univ, Dept Bot, PL-30059 Krakow, Poland; Jagiellonian Univ, Inst Mol Biol, PL-30059 Krakow, Poland</t>
  </si>
  <si>
    <t>Jagiellonian University; University of Liege; Jagiellonian University; Jagiellonian University</t>
  </si>
  <si>
    <t>Haranczyk, H (corresponding author), Jagiellonian Univ, Inst Phys, Reymonta 4, PL-30059 Krakow, Poland.</t>
  </si>
  <si>
    <t>0927-7765</t>
  </si>
  <si>
    <t>COLLOID SURFACE B</t>
  </si>
  <si>
    <t>Colloid Surf. B-Biointerfaces</t>
  </si>
  <si>
    <t>MAY 1</t>
  </si>
  <si>
    <t>10.1016/S0927-7765(02)00150-9</t>
  </si>
  <si>
    <t>Biophysics; Chemistry, Physical; Materials Science, Biomaterials</t>
  </si>
  <si>
    <t>Biophysics; Chemistry; Materials Science</t>
  </si>
  <si>
    <t>670KZ</t>
  </si>
  <si>
    <t>WOS:000182408300002</t>
  </si>
  <si>
    <t>Phillips, RA; Green, JA; Phalan, B; Croxall, JP; Butler, PJ</t>
  </si>
  <si>
    <t>Chick metabolic rate and growth in three species of albatross: a comparative study</t>
  </si>
  <si>
    <t>COMPARATIVE BIOCHEMISTRY AND PHYSIOLOGY A-MOLECULAR &amp; INTEGRATIVE PHYSIOLOGY</t>
  </si>
  <si>
    <t>albatross chicks; growth rates; oxygen consumption; physiological constraint; respirometry; resting metabolic rate</t>
  </si>
  <si>
    <t>DIOMEDEA-MELANOPHRIS; POSTNATAL-GROWTH; BIRD ISLAND; FOOD; CHRYSOSTOMA; ENERGY; HERITABILITY; EVOLUTION</t>
  </si>
  <si>
    <t>The relative importance of genetic vs. environmental factors in determining the pattern of avian post-embryonic development is much debated. Previous cross-fostering of albatrosses suggested that although inter-specific variation in growth rate was determined primarily by differences in dietary energy content, species-specific constraints might have evolved that could limit maximal growth, even in chicks fed at similar rates and on similar diets. This study aimed to determine whether intrinsic differences in resting metabolic rate were apparent during the linear phase of growth in chicks of three species (black-browed, grey-headed and light-mantled sooty albatrosses). There was a gradual increase in absolute, and a reduction in mass-specific metabolic rate from 5.0 W kg(-1) during the earliest part of linear growth, to 3.5 W kg(-1) by the time chicks reached peak mass. These values are considerably higher than in resting adults of comparable or lower mass, presumably reflecting the large size and high metabolic demand of organs involved in rapid nutrient processing and tissue synthesis by chicks. The lack of any detectable inter-specific variation in the pattern of metabolic rate changes casts some doubt on the existence of fundamental differences in growth rate that cannot be attributed simply to differences in dietary energy or nutrient delivery rate. (C) 2003 Elsevier Science Inc. All rights reserved.</t>
  </si>
  <si>
    <t>British Antarctic Survey, NERC, Cambridge CB3 0ET, England; Univ Birmingham, Sch Biosci, Birmingham B15 2TT, W Midlands, England</t>
  </si>
  <si>
    <t>UK Research &amp; Innovation (UKRI); Natural Environment Research Council (NERC); NERC British Antarctic Survey; University of Birmingham</t>
  </si>
  <si>
    <t>raphil@bas.ac.uk</t>
  </si>
  <si>
    <t>Green, Jonathan A/B-8799-2011; Phalan, Ben/A-5783-2009</t>
  </si>
  <si>
    <t>Green, Jonathan A/0000-0001-8692-0163; Phalan, Ben/0000-0001-7876-7226</t>
  </si>
  <si>
    <t>1095-6433</t>
  </si>
  <si>
    <t>1531-4332</t>
  </si>
  <si>
    <t>COMP BIOCHEM PHYS A</t>
  </si>
  <si>
    <t>Comp. Biochem. Physiol. A-Mol. Integr. Physiol.</t>
  </si>
  <si>
    <t>10.1016/S1095-6433(03)00073-4</t>
  </si>
  <si>
    <t>Biochemistry &amp; Molecular Biology; Physiology; Zoology</t>
  </si>
  <si>
    <t>680BD</t>
  </si>
  <si>
    <t>WOS:000182955700011</t>
  </si>
  <si>
    <t>Kirillov, SA; Dmitrenko, IA; Darovskikh, AN; Eicken, H</t>
  </si>
  <si>
    <t>Influence of shear instability of internal waves on processes of the vertical turbulent heat exchange on the Laptev sea shelf</t>
  </si>
  <si>
    <t>DISSIPATION; THERMOCLINE; OCEAN</t>
  </si>
  <si>
    <t>State Sci Ctr Russian Federat, Arctic &amp; Antarctic Res Inst, St Petersburg 199397, Russia; Univ Alaska, Inst Arctic Res Ctr, Fairbanks, AK 99701 USA; Univ Alaska, Inst Geophys, Fairbanks, AK 99701 USA</t>
  </si>
  <si>
    <t>Arctic &amp; Antarctic Research Institute; University of Alaska System; University of Alaska Fairbanks; University of Alaska System; University of Alaska Fairbanks</t>
  </si>
  <si>
    <t>Kirillov, SA (corresponding author), State Sci Ctr Russian Federat, Arctic &amp; Antarctic Res Inst, Ul Beringa 38, St Petersburg 199397, Russia.</t>
  </si>
  <si>
    <t>Eicken, Hajo/M-6901-2016</t>
  </si>
  <si>
    <t>693CU</t>
  </si>
  <si>
    <t>WOS:000183698200014</t>
  </si>
  <si>
    <t>Morozov, EG; Demidova, TA; Lappo, SS; Pisarev, SV; Sokov, AV</t>
  </si>
  <si>
    <t>Antarctic Bottom Water flow through the Vema Channel</t>
  </si>
  <si>
    <t>VARIABILITY; CIRCULATION; ATLANTIC; BOUNDARY</t>
  </si>
  <si>
    <t>Russian Acad Sci, PP Shirshov Oceanol Inst, Moscow 117851, Russia</t>
  </si>
  <si>
    <t>Russian Acad Sci, PP Shirshov Oceanol Inst, Nakhimovski Pr 36, Moscow 117851, Russia.</t>
  </si>
  <si>
    <t>emorozov@mtu-net.ru</t>
  </si>
  <si>
    <t>Morozov, Eugene G/L-3023-2018; Pisarev, Sergey/C-8361-2017</t>
  </si>
  <si>
    <t>Pisarev, Sergey/0000-0001-7445-1507; Morozov, Eugene/0000-0002-0251-3454</t>
  </si>
  <si>
    <t>1531-8354</t>
  </si>
  <si>
    <t>WOS:000183698200029</t>
  </si>
  <si>
    <t>Wegner, C; Hölemann, JA; Dmitrenko, I; Kirillov, S; Tuschling, K; Abramova, E; Kassens, H</t>
  </si>
  <si>
    <t>Suspended particulate matter on the Laptev Sea shelf (Siberian Arctic) during ice-free conditions</t>
  </si>
  <si>
    <t>ESTUARINE COASTAL AND SHELF SCIENCE</t>
  </si>
  <si>
    <t>Siberian Arctic; Laptev Sea; suspended particulate matter; vertical distribution; optical backscatter</t>
  </si>
  <si>
    <t>INTERNAL WAVES; SEDIMENTS; CANYON</t>
  </si>
  <si>
    <t>Optical turbidity surveys combined with pigment, plankton, and current measurements were used to investigate the vertical and horizontal dynamics of suspended particulate matter (SPM) in the Laptev Sea, one of the largest Siberian shelf seas, during the ice-free period. Optical measuring devices prove to be an excellent tool to measure SPM distribution in real time. SPM concentrations were quantified owing to the high correlation of water samples and optical backscatter. Thus, the formation and distribution of the bottom nepheloid layer, a layer of increased SPM concentration, and its significance for the sediment transport on the Laptev Sea shelf can be described. Two nepheloid layers exist in the eastern and central Laptev Sea. Formation and concentration of the surface layer are mainly related to the amount of phytoplankton and zooplankton occurrence. However, in the vicinity of the Lena Delta, the concentration is strongly dependent on riverine discharge. The bottom nepheloid layer is suggested to develop during and briefly after the spring breakup, when about 60% of the mean annual sediment input is discharged onto the shelf. SPM spreads over the shelf and is kept in suspension within the bottom layer. Especially during the ice-free period, almost no sedimentation takes place. However, bottom material is resuspended due to wind-induced increased bottom currents, mainly in paleo-river valleys and on shoals. Valleys act as transport conduits during the ice-free period and SPM is shifted within them. An intermediate layer near Stolbovoy Bank is probably caused by the displacement of the bottom layer from the topographic highs into the valleys. The combined turbidity and current measurements indicate that most of the sediment transport on the Laptev Sea shelf takes place in the bottom nepheloid layer. (C) 2003 Elsevier Science B.V. All rights reserved.</t>
  </si>
  <si>
    <t>GEOMAR, Res Ctr Marine Geosci, D-24148 Kiel, Germany; Alfred Wegener Inst Polar &amp; Marine Res, D-2850 Bremerhaven, Germany; Univ Alaska, Int Arctic Res Ctr, Fairbanks, AK 99701 USA; Arctic &amp; Antarctic Res Inst, State Res Ctr, St Petersburg, Russia; Lena Delta State Reserve, Tiksi, Russia</t>
  </si>
  <si>
    <t>Helmholtz Association; GEOMAR Helmholtz Center for Ocean Research Kiel; Helmholtz Association; Alfred Wegener Institute, Helmholtz Centre for Polar &amp; Marine Research; University of Alaska System; University of Alaska Fairbanks; Arctic &amp; Antarctic Research Institute</t>
  </si>
  <si>
    <t>Wegner, C (corresponding author), GEOMAR, Res Ctr Marine Geosci, Wischhofstr 1-3 Bldg C4, D-24148 Kiel, Germany.</t>
  </si>
  <si>
    <t>Hoelemann, Jens/N-3608-2016</t>
  </si>
  <si>
    <t>Hoelemann, Jens/0000-0001-5102-4086; Dmitrenko, Igor/0000-0001-8388-7839</t>
  </si>
  <si>
    <t>0272-7714</t>
  </si>
  <si>
    <t>ESTUAR COAST SHELF S</t>
  </si>
  <si>
    <t>Estuar. Coast. Shelf Sci.</t>
  </si>
  <si>
    <t>10.1016/S0272-7714(02)00328-1</t>
  </si>
  <si>
    <t>707FR</t>
  </si>
  <si>
    <t>WOS:000184500300005</t>
  </si>
  <si>
    <t>Farnell-Jackson, EA; Ward, AK</t>
  </si>
  <si>
    <t>Seasonal patterns of viruses, bacteria and dissolved organic carbon in a riverine wetland</t>
  </si>
  <si>
    <t>FRESHWATER BIOLOGY</t>
  </si>
  <si>
    <t>biofilms; dissolved organic carbon; microbial mortality; viruses; wetlands</t>
  </si>
  <si>
    <t>MICROBIAL COMMUNITIES; AQUATIC ENVIRONMENTS; ANTARCTIC LAKES; MARINE; ABUNDANCE; BACTERIOPLANKTON; PHYTOPLANKTON; SEDIMENTS; MORTALITY; GROWTH</t>
  </si>
  <si>
    <t>1. Viral and bacterial abundances were studied in relation to environmental attributes over an annual period, for both planktonic and attached (sediment, aquatic macrophyte and submerged wood) habitats, in a riverine wetland. 2. Annual mean abundance of planktonic viruses ranged from 2.3x10(5)-3.8x10(5) particles mL(-1) and varied according to sampling site. Significant seasonal patterns in viral abundance were evident and appeared to be linked to variations in bacterial abundance, dissolved organic carbon and inorganic nutrients. 3. Annual mean abundance of viruses associated with surfaces ranged from 1.3x10(6) particles cm(-2) on aquatic macrophytes to 1.1x10(7) particles cm(-2) on wood and also showed seasonal patterns. The difference in viral dynamics among the different sites emphasizes the importance of considering habitat diversity within wetlands when examining microbial communities.</t>
  </si>
  <si>
    <t>Univ Alabama, Dept Biol Sci, Tuscaloosa, AL 35487 USA</t>
  </si>
  <si>
    <t>University of Alabama System; University of Alabama Tuscaloosa</t>
  </si>
  <si>
    <t>Farnell-Jackson, EA (corresponding author), SE Louisiana Univ, Dept Biol Sci, Box 10736, Hammond, LA 70402 USA.</t>
  </si>
  <si>
    <t>0046-5070</t>
  </si>
  <si>
    <t>FRESHWATER BIOL</t>
  </si>
  <si>
    <t>Freshw. Biol.</t>
  </si>
  <si>
    <t>10.1046/j.1365-2427.2003.01052.x</t>
  </si>
  <si>
    <t>666NP</t>
  </si>
  <si>
    <t>WOS:000182183600008</t>
  </si>
  <si>
    <t>Ren, L; Linsley, BK; Wellington, GM; Schrag, DP; Hoegh-Guldberg, O</t>
  </si>
  <si>
    <t>Deconvolving the δ18O seawater component from subseasonal coral δ18O and Sr/Ca at Rarotonga in the southwestern subtropical Pacific for the period 1726 to 1997</t>
  </si>
  <si>
    <t>SEA-SURFACE TEMPERATURE; ANTARCTIC CIRCUMPOLAR WAVE; SCALE CLIMATE VARIABILITY; EL-NINO; SOUTHERN-OSCILLATION; DATA ASSIMILATION; EASTERN PACIFIC; WATER-BALANCE; ENSO; MODEL</t>
  </si>
  <si>
    <t>To reconstruct oceanographic variations in the subtropical South Pacific, 271-year long subseasonal time series of Sr/Ca and delta(18)O were generated from a coral growing at Rarotonga (21.5degreesS, 159.5degreesW). In this case, coral Sr/Ca appears to be an excellent proxy for sea surface temperature (SST) and coral delta(18)O is a function of both SST and seawater delta(18)O composition (delta(18)O(sw)). Here, we focus on extracting the delta(18)O(sw) signal from these proxy records. A method is presented assuming that coral Sr/Ca is solely a function of SST and that coral delta(18)O is a function of both SST and delta(18)O(sw). This method separates the effects of delta(18)O(sw) from SST by breaking the instantaneous changes of coral delta(18)O into separate contributions by instantaneous SST and delta(18)O(sw) changes, respectively. The results show that on average delta(18)O(sw) at Rarotonga explains similar to39% of the variance in delta(18)O and that variations in SST explains the remaining similar to61% of delta(18)O variance. Reconstructed delta(18)O(sw) shows systematic increases in summer months (December-February) consistent with the regional pattern of variations in precipitation and evaporation. The delta(18)O(sw) also shows a positive linear correlation with satellite-derived estimated salinity for the period 1980 to 1997 (r = 0.72). This linear correlation between reconstructed delta(18)O(sw) and salinity makes it possible to use the reconstructed delta(18)O(sw) to estimate the past interannual and decadal salinity changes in this region. Comparisons of coral delta(18)O and delta(18)O(sw) at Rarotonga with the Pacific decadal oscillation index suggest that the decadal and interdecadal salinity and SST variability at Rarotonga appears to be related to basin-scale decadal variability in the Pacific. Copyright (C) 2002 Elsevier Science Ltd.</t>
  </si>
  <si>
    <t>SUNY Albany, Dept Earth &amp; Atmospher Sci, Albany, NY 12222 USA; Univ Houston, Dept Biol, Houston, TX 77204 USA; Harvard Univ, Dept Earth &amp; Planetary Sci, Cambridge, MA 02138 USA; Univ Queensland, Ctr Marine Studies, St Lucia, Qld 4072, Australia</t>
  </si>
  <si>
    <t>State University of New York (SUNY) System; State University of New York (SUNY) Albany; University of Houston System; University of Houston; Harvard University; University of Queensland</t>
  </si>
  <si>
    <t>SUNY Albany, Dept Earth &amp; Atmospher Sci, Albany, NY 12222 USA.</t>
  </si>
  <si>
    <t>renlei68@yahoo.com</t>
  </si>
  <si>
    <t>Hoegh-Guldberg, Ove/HJP-1821-2023; Hoegh-Guldberg, Ove/ABA-5420-2020; Hoegh-Guldberg, Ove/H-6169-2011</t>
  </si>
  <si>
    <t>Hoegh-Guldberg, Ove/0000-0001-7510-6713; Hoegh-Guldberg, Ove/0000-0001-7510-6713; Linsley, Braddock/0000-0003-2085-0662</t>
  </si>
  <si>
    <t>PII S0016-7037(02)00917-1</t>
  </si>
  <si>
    <t>10.1016/S0016-7037(02)00917-1</t>
  </si>
  <si>
    <t>673PT</t>
  </si>
  <si>
    <t>WOS:000182589900002</t>
  </si>
  <si>
    <t>Mittlefehldt, DW; Lindstrom, MM</t>
  </si>
  <si>
    <t>Geochemistry of eucrites: Genesis of basaltic eucrites, and Hf and Ta as petrogenetic indicators for altered antarctic eucrites</t>
  </si>
  <si>
    <t>DIOGENITE PARENT BODY; ORTHO-PYROXENE; CORE FORMATION; ELEMENT CHEMISTRY; ACHONDRITES; METEORITES; VESTA; CRYSTALLIZATION; METAMORPHISM; PETROLOGY</t>
  </si>
  <si>
    <t>We performed instrumental neutron activation analysis on a large suite of antarctic and nonantarctic eucrites, including unbrecciated, brecciated, and polymict eucrites and cumulate and noncumulate eucrites. We evaluate the use of Hf and Ta, two highly incompatible elements, as sensitive indicators of partial melting or fractional crystallization processes. Comparison with rare earth element (REE) data from nonantarctic and antarctic eucrites shows that Hf and Ta are unaffected by the terrestrial alteration that has modified the REE contents and patterns of some antarctic eucrites. The major host phases for Hf and Ta-zircon, baddeleyite, ilmenite, and titanite-are much less susceptible to terrestrial alteration than the phosphate hosts of REEs. The host phases for Hf and Ta are minor or trace phases, so sample heterogeneity is a serious concern for obtaining representative compositions. The trace lithophile and siderophile element contents of noncumulate eucrites do not allow for a single, simple model for the petrogenesis of the howardite-eucrite-diogenite suite. Fractional crystallization models cannot reproduce the compositional relationship between eucrites of the main group-Nuevo Laredo trend and those of the Stannern trend. Equilibrium crystallization models cannot explain the trace element diversity observed among diogenites. Partial melting models cannot explain the W variations among eucrites, unless source regions had different metal contents. We suggest that slight variations in oxygen fugacity of eucrite source regions during partial melting can explain the W variations without requiring different metal contents. This hypothesis may fail to account for eucrite Co contents, however. Copyright (C) 2003 Elsevier Science Ltd.</t>
  </si>
  <si>
    <t>NASA, Lyndon B Johnson Space Ctr, SR, Houston, TX 77058 USA</t>
  </si>
  <si>
    <t>National Aeronautics &amp; Space Administration (NASA); NASA Johnson Space Center</t>
  </si>
  <si>
    <t>Mittlefehldt, DW (corresponding author), NASA, Lyndon B Johnson Space Ctr, SR, Houston, TX 77058 USA.</t>
  </si>
  <si>
    <t>Mittlefehldt, David/JUV-2877-2023</t>
  </si>
  <si>
    <t>10.1016/S0016-7037(02)01411-4</t>
  </si>
  <si>
    <t>678TC</t>
  </si>
  <si>
    <t>WOS:000182881700011</t>
  </si>
  <si>
    <t>Channell, JET; Galeotti, S; Martin, EE; Billups, K; Scher, HD; Stoner, JS</t>
  </si>
  <si>
    <t>Eocene to Miocene magnetostratigraphy, biostratigraphy, and chemostratigraphy at ODP Site 1090 (sub-Antarctic South Atlantic)</t>
  </si>
  <si>
    <t>cenozoic; magnetostratigraphy; stable isotopes; strontium isotopes; biostratigraphy; South Atlantic</t>
  </si>
  <si>
    <t>CALCAREOUS NANNOFOSSIL MAGNETOBIOCHRONOLOGY; MIDDLE EOCENE; OLIGOCENE/MIOCENE BOUNDARY; PALEOMAGNETIC DATA; LEG-73 SEDIMENTS; CLIMATE; SITE-1090; OCEAN; CORE; STRATIGRAPHY</t>
  </si>
  <si>
    <t>At Ocean Drilling Program (ODP) Site 1090 (lat 42degrees54.8'S, long 8degrees54.0'E) located in a water depth of 3702 m on the Agulhas Ridge in the sub-Antarctic South Atlantic, similar to300 m of middle Eocene to middle Miocene sediments were recovered with the advanced piston corer (APC) and the extended core barrel (XCB). U-channel samples from the 70-230 meters composite depth (mcd) interval provide a magnetic polarity stratigraphy that is extended to 380 mcd by shipboard whole-core and discrete sample data. The magnetostratigraphy can be interpreted by the fit of the polarity-zone pattern to the geomagnetic polarity time scale (GPTS) augmented by isotope data and bioevents with documented correlation to the GPTS. Three normal-polarity subchrons (C5Dr.1n, C7Ar.1n, and C13r.1n), not included in the standard GPTS, are recorded at Site 1090. The base of the sampled section is correlated to C19n (middle Eocene), although the interpretation is unclear beyond C17r. The top of the sampled section is correlated to C5Cn (late early Miocene), although, in the uppermost 10 m of the sampled section, a foraminifer (Globorotalia sphericomiozea) usually associated with the Messinian and early Pliocene has been identified. Sr-87/Sr-86, delta(13)C, and delta(18)O values measured on foraminifera, including the delta(18)O and delta(13)C shifts close to the Eocene/Oligocene boundary, support the correlation to the GPTS. For the interval spanning the Oligocene/Miocene boundary, benthic delta(13)C, delta(18)O, and Sr-87/Sr-86 records from Site 1090 can be correlated to isotope records from ODP Site 929 (Ceara Rise), providing support for the recently-published Oligocene/Miocene boundary age (22.92 Ma) of Shackleton et al.</t>
  </si>
  <si>
    <t>Univ Florida, Dept Geol Sci, Gainesville, FL 32611 USA; Univ Urbino, IstGeol, I-61029 Urbino, Italy; Univ Florida, Dept Geol Sci, Gainesville, FL 32611 USA; Univ Delaware, Coll Marine Studies, Lewes, DE 19958 USA; Univ Colorado, Inst Arctic &amp; Alpine Res, Boulder, CO 80309 USA</t>
  </si>
  <si>
    <t>State University System of Florida; University of Florida; University of Urbino; State University System of Florida; University of Florida; University of Delaware; University of Colorado System; University of Colorado Boulder</t>
  </si>
  <si>
    <t>Channell, JET (corresponding author), Univ Florida, Dept Geol Sci, POB 112120, Gainesville, FL 32611 USA.</t>
  </si>
  <si>
    <t>Scher, Howie/C-4927-2013</t>
  </si>
  <si>
    <t>Galeotti, Simone/0000-0001-9636-9344</t>
  </si>
  <si>
    <t>ASSOC ENGINEERING GEOLOGISTS GEOLOGICAL SOCIETY AMER</t>
  </si>
  <si>
    <t>DENVER</t>
  </si>
  <si>
    <t>720 S COLORADO BLVD, STE 960-S, DENVER, CO 80246 USA</t>
  </si>
  <si>
    <t>10.1130/0016-7606(2003)115&lt;0607:ETMMBA&gt;2.0.CO;2</t>
  </si>
  <si>
    <t>672NH</t>
  </si>
  <si>
    <t>WOS:000182526700007</t>
  </si>
  <si>
    <t>Small, C; Danyushevsky, LV</t>
  </si>
  <si>
    <t>Plate-kinematic explanation for mid-oceanic-ridge depth discontinuities</t>
  </si>
  <si>
    <t>mid-oceanic ridge; bathymetry; asthenosphere; hotspot</t>
  </si>
  <si>
    <t>PACIFIC-ANTARCTIC RIDGE; MANTLE; MIGRATION; PLUMES; ASTHENOSPHERE; CONVECTION; SCALE; RISE</t>
  </si>
  <si>
    <t>The global mid-ocean-ridge system is characterized by several regional-scale depth and geochemical anomalies. A prominent depth discontinuity between the East Pacific Rise and the Pacific-Antarctic Rise also coincides with a geochemical discontinuity that has been suggested by previous workers to indicate a boundary between distinct mantle- upwelling domains with separate convective histories. We propose a plate-kinematic origin for this discontinuity in which different rates of asthenospheric sequestration and spreading-center migration result in different equilibrium depths for different spreading centers. Absolute plate motions determine both the rate at which asthenosphere is converted to lithosphere (i.e., the sequestration rate) and the rate at which the spreading center moves relative to hotspots (i.e., the migration rate). If limits on the consumption (i.e., the sequestration/migration ratio) of asthenosphere by spreading centers are determined by the thickness and flux of asthenosphere, then the fast-spreading, slowly migrating East Pacific Rise should have a deeper equilibrium depth than the slower-spreading, rapidly migrating Pacific-Antarctic Rise. Sustained, localized asthenospheric consumption by the East Pacific Rise contrasts with the lower consumption and abundance of asthenospheric flux from hotspots near the Pacific-Antarctic Rise. A similar mechanism could explain the discontinuity between the localized depth anomaly on the Southwest Indian Ridge near the Bouvet hotspot and the much broader, but deeper, anomaly on the adjacent Mid-Atlantic Ridge, where asthenosphere is being transformed to lithosphere at more than three times the rate of the Southwest Indian or American-Antarctic Ridge. Geochemical evidence is consistent with the notion of deeper, more extensive melting under both of the spreading centers with anomalously high sequestration/migration ratios.</t>
  </si>
  <si>
    <t>Columbia Univ, Lamont Doherty Geol Observ, Palisades, NY 10964 USA; Univ Tasmania, Sch Earth Sci, Hobart, Tas 7001, Australia; Univ Tasmania, Ctr Ore Deposit Res, Hobart, Tas 7001, Australia</t>
  </si>
  <si>
    <t>Columbia University; University of Tasmania; University of Tasmania</t>
  </si>
  <si>
    <t>Small, C (corresponding author), Columbia Univ, Lamont Doherty Geol Observ, Palisades, NY 10964 USA.</t>
  </si>
  <si>
    <t>Danyushevsky, Leonid/C-5346-2013; Small, Christopher/AAB-9030-2019</t>
  </si>
  <si>
    <t>Danyushevsky, Leonid/0000-0003-4050-6850;</t>
  </si>
  <si>
    <t>10.1130/0091-7613(2003)031&lt;0399:PEFMDD&gt;2.0.CO;2</t>
  </si>
  <si>
    <t>672KF</t>
  </si>
  <si>
    <t>WOS:000182519200026</t>
  </si>
  <si>
    <t>Evans, HF; Channell, JET</t>
  </si>
  <si>
    <t>Upper Miocene magnetic stratigraphy at ODP site 1092 (sub-Antarctic South Atlantic): recognition of 'cryptochrons' in C5n.2n</t>
  </si>
  <si>
    <t>cryptochrons; magnetostratigraphy; Miocene; South Atlantic</t>
  </si>
  <si>
    <t>GEOMAGNETIC-FIELD; SEDIMENTARY RECORDS; PALEOMAGNETIC DATA; PALEOINTENSITY; CORE; MAGNETOSTRATIGRAPHY; REVERSALS; INTENSITY; BASIN; CHRON</t>
  </si>
  <si>
    <t>U-channel samples from ODP site 1092 in the sub-Antarctic South Atlantic Ocean provide an interpretable magnetic stratigraphy from 1.95 to similar to3.6 Ma and from similar to5.9 to 13.5 Ma. Although the interpretation is unclear within the Gilbert Chron (C3), the record represents one of the more complete Upper Miocene polarity stratigraphies from the South Atlantic. Eight polarity subchrons that are not included in the standard polarity timescale are identified. Polarity subchron C4r.2r contains a normal-polarity interval that has also been identified in sediments from ODP leg 138. Three short subchrons are recorded within C4n.2n, C5r.3r and C5AAr. The record of C5n.2n contains four short reverse-polarity subchrons of durations estimated to be 3-6 kyr.</t>
  </si>
  <si>
    <t>Univ Florida, Dept Geol Sci, Gainesville, FL 32611 USA</t>
  </si>
  <si>
    <t>State University System of Florida; University of Florida</t>
  </si>
  <si>
    <t>Evans, HF (corresponding author), Univ Florida, Dept Geol Sci, POB 112120, Gainesville, FL 32611 USA.</t>
  </si>
  <si>
    <t>10.1046/j.1365-246X.2003.01916.x</t>
  </si>
  <si>
    <t>668GD</t>
  </si>
  <si>
    <t>WOS:000182281200013</t>
  </si>
  <si>
    <t>Omta, AW; Dijkstra, HA</t>
  </si>
  <si>
    <t>A physical mechanism for the Atlantic-Pacific flow reversal in the early Miocene</t>
  </si>
  <si>
    <t>GLOBAL AND PLANETARY CHANGE</t>
  </si>
  <si>
    <t>Paleocean circulation; continental drift; climate change; Panama straits; Miocene</t>
  </si>
  <si>
    <t>CARIBBEAN SEA; CIRCULATION; OCEAN; EVOLUTION; NEOGENE; IMPACT; DRAKE</t>
  </si>
  <si>
    <t>Barotropic wind-driven steady ocean circulation patterns have been calculated for several different continental geometries during the Tertiary. Using a shallow-water model, flows are computed at 5-Ma intervals within the 60-20 Ma period; while keeping a fixed pattern of the wind-stress forcing. The most interesting changes in ocean circulation occur between 35 and 20 Ma, in which (i) the Antarctic Circumpolar Current appears because of the widening of Drake Passage, (ii) the Tethys Current disappears because of the closure of the Tethys Seaway and (iii) the transport through Panama Straits (between North and South America) reverses. The results are qualitatively in agreement with interpretations of changes in ocean surface currents drawn on the basis of proxy studies. A physical mechanism of the flow reversal through the Panama Straits is proposed based on. a detailed analysis of the changes in wind-driven transport of both the Tethys Current and the Antarctic Circumpolar Current. (C) 2003 Elsevier Science B.V. All rights reserved.</t>
  </si>
  <si>
    <t>Univ Utrecht, Dept Phys &amp; Astron, Inst Marine &amp; Atmospher Res Utrecht, NL-3584 CC Utrecht, Netherlands</t>
  </si>
  <si>
    <t>Utrecht University</t>
  </si>
  <si>
    <t>Univ Utrecht, Dept Phys &amp; Astron, Inst Marine &amp; Atmospher Res Utrecht, Princetonpl 5, NL-3584 CC Utrecht, Netherlands.</t>
  </si>
  <si>
    <t>dijkstra@phys.uu.nl</t>
  </si>
  <si>
    <t>Dijkstra, Henk A./H-2559-2016</t>
  </si>
  <si>
    <t>0921-8181</t>
  </si>
  <si>
    <t>1872-6364</t>
  </si>
  <si>
    <t>GLOBAL PLANET CHANGE</t>
  </si>
  <si>
    <t>Glob. Planet. Change</t>
  </si>
  <si>
    <t>10.1016/S0921-8181(02)00221-7</t>
  </si>
  <si>
    <t>673GH</t>
  </si>
  <si>
    <t>WOS:000182572000003</t>
  </si>
  <si>
    <t>Gloersen, P; Huang, N</t>
  </si>
  <si>
    <t>Comparison of interannual intrinsic modes in hemispheric sea ice covers and other geophysical parameters</t>
  </si>
  <si>
    <t>geophysical measurements; microwave measurements; remote sensing; sea; sea ice</t>
  </si>
  <si>
    <t>TERRESTRIAL FREE OSCILLATIONS; ANTARCTIC CIRCUMPOLAR WAVE; TAPER SPECTRAL-ANALYSIS; TIME-SERIES; HILBERT SPECTRUM; TEMPERATURE; SEASONALITY; PRESSURE; BEHAVIOR; EXTENTS</t>
  </si>
  <si>
    <t>Recent papers have described 18-year trends and interannual oscillations in the Arctic and Antarctic sea ice extents, areas, and enclosed open water areas based on newly formulated 18.2-year ice concentration time series. They were obtained by fine-tuning the sea ice algorithm tie points individually for each of the four sensors used to acquire the data. In this paper, these analyses are extended to an examination of the intrinsic modes of these time series, obtained by means of empirical mode decomposition, which handles both nonstationary and nonlinear data as found in these time series, unlike filtering techniques based on Fourier analysis. Our analysis centers on periodicities greater than one year. Quasi-biennial and quasi-quadrennial oscillations similar to those observed earlier with a multitaper-filtered Fourier analysis technique were also observed here. The intrinsic modes described here feature frequency as well as amplitude modulation within their respective frequency bands. The slowest varying mode in the Antarctic sea ice cover has slightly less than a full period during this 18.2-year time period, but the change in sign of its curvature hints at a modal period of about 19 years, with important implications for the trend analyses published earlier.</t>
  </si>
  <si>
    <t>NASA, Goddard Space Flight Ctr, Oceans &amp; Ice Branch, Greenbelt, MD 20771 USA</t>
  </si>
  <si>
    <t>National Aeronautics &amp; Space Administration (NASA); NASA Goddard Space Flight Center</t>
  </si>
  <si>
    <t>Gloersen, P (corresponding author), NASA, Goddard Space Flight Ctr, Oceans &amp; Ice Branch, Greenbelt, MD 20771 USA.</t>
  </si>
  <si>
    <t>10.1109/TGRS.2003.811814</t>
  </si>
  <si>
    <t>692PT</t>
  </si>
  <si>
    <t>WOS:000183670000014</t>
  </si>
  <si>
    <t>Golden, DM</t>
  </si>
  <si>
    <t>Reaction ClO + ClO → products:: Modeling and parameterization for use in atmospheric models</t>
  </si>
  <si>
    <t>INTERNATIONAL JOURNAL OF CHEMICAL KINETICS</t>
  </si>
  <si>
    <t>SELF-REACTION; KINETICS; DIMER</t>
  </si>
  <si>
    <t>The interaction of two ClO radicals is important in the Antarctic stratosphere. Current models assume a single ClOOCl product and use the parameters suggested in the NASA/JPL or IUPAC compilations to describe the rate constant as a function of temperature and pressure (in air). it has been noted that these parameters suggest an inordinately high energy transfer efficiency and perhaps a somewhat high negative temperature dependence at the high pressure limit. Recent potential energy surface calculations reveal the possibility of the formation of ClOClO. In this study RRKM/master equation modeling of this surface was performed. Rational input parameters confirm that the formation of ClOClO in 10-15% yields may be important, but they do not conform with the shape and temperature dependence of the data. The simplest best representation of the extant data remains the single channel NASA/JPL format with parameters k(0) (cm(6) molecules(-2) s(-)!) = 1.6 x 10(-32)(T/300)(-4.5) and k (cm(3) molecules(-1) s(-1)) = 2.0 x 10(-12)(T/300)(-2-4). However, the data can be represented as the sum of the two pathways as well. (C) 2003 Wiley Periodicals, Inc.</t>
  </si>
  <si>
    <t>Stanford Univ, Dept Mech Engn, Stanford, CA 94305 USA</t>
  </si>
  <si>
    <t>Golden, DM (corresponding author), Stanford Univ, Dept Mech Engn, Stanford, CA 94305 USA.</t>
  </si>
  <si>
    <t>JOHN WILEY &amp; SONS INC</t>
  </si>
  <si>
    <t>111 RIVER ST, HOBOKEN, NJ 07030 USA</t>
  </si>
  <si>
    <t>0538-8066</t>
  </si>
  <si>
    <t>INT J CHEM KINET</t>
  </si>
  <si>
    <t>Int. J. Chem. Kinet.</t>
  </si>
  <si>
    <t>10.1002/kin.10120</t>
  </si>
  <si>
    <t>666JZ</t>
  </si>
  <si>
    <t>WOS:000182175300004</t>
  </si>
  <si>
    <t>White, WB; McKeon, G; Syktus, J</t>
  </si>
  <si>
    <t>Australian drought: The interference of multi-spectral global standing modes and travelling waves</t>
  </si>
  <si>
    <t>Australia; drought; global standing modes; global travelling waves</t>
  </si>
  <si>
    <t>ANTARCTIC CIRCUMPOLAR WAVE; SEA-SURFACE TEMPERATURE; DECADAL MODULATION; PRESSURE; ENSO; HEMISPHERE; MANAGEMENT; RAINFALL; SIGNAL; WIND</t>
  </si>
  <si>
    <t>Extreme drought has devastated the flora, fauna, and regional economy in rangeland grazing districts over Australia for 3-5 years duration every 20 to 30 years throughout the 20th century. We investigate the source of drought occurring in five example grazing districts in eastern and central Australia. We find year-to-year variability in grazing district rainfall (GDR) during the summer rainy season (November to March) composed of quasi-biennial, interannual, quasi-decadal, and interdecadal signals from 1900 to 1999. However, the longer period signals dominate, accounting for the interdecadal quasi-periodicity of the drought/flood cycle. We find these GDR signals associated with corresponding global standing modes and travelling waves in covarying sea-surface temperature (SST) and sea-level pressure (SLP) anomalies. These global SST/SLP modes/waves influence the GDR signals by altering the troposphere moisture flux converging onto the grazing districts from regional tropical and extra-tropical oceanic source regions. We construct statistical models to determine whether the evolution of these global SST/SLP modes/waves over the oceanic source regions can hindcast corresponding GDR signals from one year to the next. When these models allow for modulation of the modes/waves, they hindcast similar to1/3 of the variance in the GDR indices at 1 year lead, including the drought episodes. We find drought resulting from the constructive interference of the dry phases of the quasi-decadal and interdecadal global SST/SLP modes/waves, accompanied by a weakening of year-to-year variability associated with either weak quasi-biennial and interannual modes/waves or their destructive interference. Copyright (C) 2003 Royal Meteorological Society.</t>
  </si>
  <si>
    <t>Univ Calif San Diego, Scripps Inst Oceanog, SIO, La Jolla, CA 92093 USA; Dept Nat Resources &amp; Mines, Indooroopilly, Qld 4068, Australia</t>
  </si>
  <si>
    <t>Univ Calif San Diego, Scripps Inst Oceanog, SIO, La Jolla, CA 92093 USA.</t>
  </si>
  <si>
    <t>wbwhite@ucsd.edu</t>
  </si>
  <si>
    <t>Syktus, Jozef/E-7173-2011</t>
  </si>
  <si>
    <t>Syktus, Jozef/0000-0003-1782-3073</t>
  </si>
  <si>
    <t>10.1002/joc.895</t>
  </si>
  <si>
    <t>683RK</t>
  </si>
  <si>
    <t>WOS:000183163200003</t>
  </si>
  <si>
    <t>Yakimov, MM; Giuliano, L; Gentile, G; Crisafi, E; Chernikova, TN; Abraham, WR; Lünsdorf, H; Timmis, KN; Golyshin, PN</t>
  </si>
  <si>
    <t>Oleispira antarctica gen. nov., sp nov., a novel hydrocarbonoclastic marine bacterium isolated from Antarctic coastal sea water</t>
  </si>
  <si>
    <t>PERFORMANCE LIQUID-CHROMATOGRAPHY; RIBOSOMAL DATABASE PROJECT; OCEANOSPIRILLUM-JANNASCHII; FATTY-ACIDS; FAM. NOV.; PSEUDOMONADS; SEQUENCE; CULTURE; GROWTH; RNA</t>
  </si>
  <si>
    <t>The taxonomic characteristics of two bacterial strains, RB-8(T) and RB-9, isolated from hydrocarbon-degrading enrichment cultures obtained from Antarctic coastal marine environments (Rod Bay, Ross Sea), were determined. These bacteria were psychrophilic, aerobic and Gram-negative with polar flagella. Growth was not observed in the absence of NaCl, occurred only at concentrations of Na+ above 20 mM and was optimal at an NaCl concentration of 3-5% (w/v). The major cellular fatty acids were monounsaturated straight-chain fatty acids. The strains were able to synthesize the polyunsaturated fatty acid eicosapentaenoic acid (20: 5omega3) at low temperatures. The DNA G + C contents were 41-42 mol%. The strains formed a distinct phyletic line within the gamma-Proteobacteria, with less than 89.6% sequence identity to their closest relatives within the Bacteria with validly published names. Both isolates exhibited a restricted substrate profile, with a preference for aliphatic hydrocarbons, that is typical of marine hydrocarbonoclastic micro-organisms such as Alcanivorax, Marinobacter and Oleiphilus. On the basis of ecophysiological properties, G + C content, 16S rRNA gene sequences and fatty acid composition, a novel genus and species within the gamma-Proteobacteria are proposed, Oleispira antarctica gen. nov., sp. nov.; strain RB-8(T) (= DSM 14852(T)-LMG 21398(T)) is the type strain.</t>
  </si>
  <si>
    <t>CNR, Ist Sperimentale Talassog, I-98122 Messina, Italy; Univ Messina, Dipartimento Biol Anim &amp; Ecol Marina, I-98166 Messina, Italy; German Res Ctr Biotechnol, GBF, Dept Microbiol, D-38124 Braunschweig, Germany; Tech Univ Carolo Wilhelmina Braunschweig, Biozentrum, Inst Microbiol, D-38106 Braunschweig, Germany</t>
  </si>
  <si>
    <t>Consiglio Nazionale delle Ricerche (CNR); University of Messina; Helmholtz Association; Helmholtz-Center for Infection Research; Braunschweig University of Technology</t>
  </si>
  <si>
    <t>Yakimov, MM (corresponding author), CNR, Ist Sperimentale Talassog, Spianata San Raineri 86, I-98122 Messina, Italy.</t>
  </si>
  <si>
    <t>Abraham, Wolf-Rainer/I-2179-2019; Giuliano, Laura/P-2204-2019; Yakimov, Michail/H-1829-2016</t>
  </si>
  <si>
    <t>Abraham, Wolf-Rainer/0000-0002-2850-2649; Golyshin, Peter/0000-0002-5433-0350; Chernikova, Tatyana/0000-0001-6684-9099; Yakimov, Michail/0000-0003-1418-363X</t>
  </si>
  <si>
    <t>10.1099/ijs.0.02366-0</t>
  </si>
  <si>
    <t>685MQ</t>
  </si>
  <si>
    <t>WOS:000183268200021</t>
  </si>
  <si>
    <t>Yakovlev, NG</t>
  </si>
  <si>
    <t>Coupled model of ocean general circulation and sea ice evolution in the Arctic Ocean</t>
  </si>
  <si>
    <t>SENSITIVITY; PROJECT</t>
  </si>
  <si>
    <t>A coupled model of ocean general circulation and sea ice dynamics-thermodynamics was developed for studying the ocean-sea-ice climate system in the Arctic. The model is based on a finite-element ocean general circulation model developed by the author and includes a thermodynamic sea ice model with eight ice thickness -radations and a dynamic sea ice model with nonlinear rheology. The results presented here were obtained using cavitating-fluid rheology. The spatial discretization of the dynamic sea ice model is also performed by the finite element method. The problem is solved numerically by applying a novel time scheme based on splitting with respect to physical processes, with the vertical turbulent diffusion/exchange problems solved separately by an implicit method. The sea ice thickness and the vertical distributions of temperature and salinity over the entire ocean depth are determined simultaneously. The wind drift problem is solved simultaneously for the ice and the entire water depth. An algorithm is proposed for approximating nonlinear rheology regardless of the particular type of the latter. The performance of the model is demonstrated by reconstructing multiyear monthly mean ice cover characteristics (mean ice thickness, snow depth, ice compactness, drift velocity, ice extent, and Fram Strait ice transport). The results are compared to observations and the results of the Sea Ice Model Intercomparison Project. NCEP/NCAR reanalysis data, spatiotemporal distributions of temperature and salinity prepared at the Arctic and Antarctic Research Institute, and prescribed water transports through the Arctic-Atlantic and Arctic-Pacific passages are used as external forcing. Although no special tuning of the model parameters was used in the runs, the model exhibited good agreement with observational data and other model results.</t>
  </si>
  <si>
    <t>Russian Acad Sci, Inst Numer Math, Moscow 119991, Russia</t>
  </si>
  <si>
    <t>Yakovlev, NG (corresponding author), Russian Acad Sci, Inst Numer Math, Ul Gubkina 8, Moscow 119991, Russia.</t>
  </si>
  <si>
    <t>Iakovlev, Nikolay/T-9703-2019</t>
  </si>
  <si>
    <t>Iakovlev, Nikolay/0000-0003-2573-728X</t>
  </si>
  <si>
    <t>686WJ</t>
  </si>
  <si>
    <t>WOS:000183343700010</t>
  </si>
  <si>
    <t>Sivier, DJ</t>
  </si>
  <si>
    <t>Space agriculture, tourism and health: Lessons from British imperial history</t>
  </si>
  <si>
    <t>JBIS-JOURNAL OF THE BRITISH INTERPLANETARY SOCIETY</t>
  </si>
  <si>
    <t>agriculture; tourism; health; Jamaica; Ceylon; Sri Lanka; Rhodesia; Zimbabwe; climate; imperialism</t>
  </si>
  <si>
    <t>Advocates of space commercialisation and colonisation have drawn on previous centuries' experience of the exploration and exploitation of terrestrial New Worlds. Although so far chiefly confined to the colonisation of the Americas and exploration of the Antarctic, a proper examination of the problems and solutions faced and found by the late 19(th) - early 20th century Jamaican tourist trade, mid-Victorian planter agriculturalists in Sri Lanka and the impact of climatic theories of health on early 201 century White colonists in Kenya and Rhodesia, can, if properly applied to today's conditions affecting modern space businesses, offer important insights to the psychological impact and aetiology of disease amongst future space colonists, and the successful establishment and management of tourism and agriculture in space. By following the precedents set by the imperial pioneers, it should be possible to apply their founding principles in these sectors successfully, while avoiding the pitfalls and excesses of terrestrial imperialism.</t>
  </si>
  <si>
    <t>Sivier, DJ (corresponding author), 9 Greenacre Rd, Bristol BS14 0HL, Avon, England.</t>
  </si>
  <si>
    <t>BRITISH INTERPLANETARY SOC</t>
  </si>
  <si>
    <t>27-29 S LAMBETH RD, LONDON SW8 1SZ, ENGLAND</t>
  </si>
  <si>
    <t>0007-084X</t>
  </si>
  <si>
    <t>JBIS-J BRIT INTERPLA</t>
  </si>
  <si>
    <t>JBIS-J. Br. Interplanet. Soc.</t>
  </si>
  <si>
    <t>Engineering, Aerospace; Astronomy &amp; Astrophysics; Geosciences, Multidisciplinary</t>
  </si>
  <si>
    <t>Engineering; Astronomy &amp; Astrophysics; Geology</t>
  </si>
  <si>
    <t>666KP</t>
  </si>
  <si>
    <t>WOS:000182176700005</t>
  </si>
  <si>
    <t>Burton, GR; Boutron, CF; Hong, S; Candelone, JP; Rosman, KJR</t>
  </si>
  <si>
    <t>Strontium isotope measurements in Greenland ice from the last glacial maximum to the early Holocene</t>
  </si>
  <si>
    <t>JOURNAL DE PHYSIQUE IV</t>
  </si>
  <si>
    <t>12th International Conference on Heavy Metals in the Environment</t>
  </si>
  <si>
    <t>MAY 26-30, 2003</t>
  </si>
  <si>
    <t>GRENOBLE, FRANCE</t>
  </si>
  <si>
    <t>ANTARCTIC ICE; DOME-C; CORE; DUST; LEAD; STAGE-2</t>
  </si>
  <si>
    <t>Strontium isotopic composition and concentration have been measured by thermal ionisation mass spectrometry on a suite of samples from the GRIP ice core drilled at Summit, Greenland. The sample ages range from similar to24 to similar to7.3 ky BP extending from the last glacial maximum into the early Holocene. Less than 10 g of sample was used for each analysis. No attempt was made to separate soluble/insoluble species in the samples. Sr concentrations are between similar to950 and similar to1,550 pg.g(-1) over the period similar to24 ky to similar to14 ky BP but fall dramatically to generally less than 150 pg.g(-1) between similar to14 to similar to7.3 ky BP. The Sr-87/Sr-86 ratio shows a general rising trend from similar to0.712 to similar to0.715 over the entire period however there are a number of significant deviations from this trend which are most likely due to changing source regions for aerosol dust input to Greenland. Sr isotopic composition shows a strong correlation with delta(18)O suggesting that climate plays a strong role in determining regions for dust release.</t>
  </si>
  <si>
    <t>Curtin Univ Technol, Dept Appl Phys, Perth, WA 6845, Australia; Korea Ocean Res &amp; Dev Inst, Polar Sci Lab, Seoul 425600, South Korea; CNRS, Lab Glaciol &amp; Geophys Environm, F-38402 St Martin Dheres, France</t>
  </si>
  <si>
    <t>Curtin University; Korea Institute of Ocean Science &amp; Technology (KIOST); Centre National de la Recherche Scientifique (CNRS)</t>
  </si>
  <si>
    <t>Burton, GR (corresponding author), Curtin Univ Technol, Dept Appl Phys, POB U1987, Perth, WA 6845, Australia.</t>
  </si>
  <si>
    <t>1155-4339</t>
  </si>
  <si>
    <t>J PHYS IV</t>
  </si>
  <si>
    <t>J. Phys. IV</t>
  </si>
  <si>
    <t>10.1051/jp4:20030287</t>
  </si>
  <si>
    <t>694PE</t>
  </si>
  <si>
    <t>WOS:000183782300060</t>
  </si>
  <si>
    <t>Delmonte, B; Basile-Doelsch, I; Petit, JR; Michard, A; Revel-Rolland, M; Maggi, V; Gemmiti, B</t>
  </si>
  <si>
    <t>Refining the isotopic (Sr-Nd) signature of potential source areas for glacial dust in East Antarctica</t>
  </si>
  <si>
    <t>VOSTOK ICE CORE; DOME-C</t>
  </si>
  <si>
    <t>The geographical origin of the mineral dust transported to the East Antarctic Plateau from the Southern Hemisphere (SH) continents has been investigated by means of the isotopic (Sr-Nd) signature of samples from Potential Source Areas (PSAs). Dust reaching Antarctica is fine-grained (&lt;5 um), and therefore the new isotopic fields have been defined in the equivalent size range. The so obtained dataset evidences a partial overlap among the signatures of the Ice Core dust and South America, New Zealand and the Antarctic Dry Valleys, while South Africa appear distinctly different; further data are needed for the Australian continent. Despite the geochemical similarity with the Dry Valleys and New Zealand, Southern South America still appears to be the most probable source for dust in Antarctica in glacial times.</t>
  </si>
  <si>
    <t>CNRS, LGGE, F-38402 St Martin Dheres, France</t>
  </si>
  <si>
    <t>Centre National de la Recherche Scientifique (CNRS); Communaute Universite Grenoble Alpes; Universite Grenoble Alpes (UGA)</t>
  </si>
  <si>
    <t>Delmonte, B (corresponding author), CNRS, LGGE, 54 Rue Moliere,BP 96, F-38402 St Martin Dheres, France.</t>
  </si>
  <si>
    <t>Basile, Isabelle IBD/B-4173-2010; Delmonte, Barbara/L-2555-2015; Maggi, Valter/AAX-5728-2020; Maggi, Valter/E-1878-2014</t>
  </si>
  <si>
    <t>Delmonte, Barbara/0000-0002-9074-2061; Maggi, Valter/0000-0001-6287-1213;</t>
  </si>
  <si>
    <t>10.1051/jp4:20030317</t>
  </si>
  <si>
    <t>WOS:000183782300090</t>
  </si>
  <si>
    <t>Gabrielli, P; Barbante, C; Planchon, FAM; Ferrari, CP; Delmonte, B; Boutron, CF</t>
  </si>
  <si>
    <t>Changes in the occurrence of heavy metals in polar ice during the last climatic cycles, with special emphasis on the possible link between cosmic dust accretion rate and the 100 kyr cycle</t>
  </si>
  <si>
    <t>CADMIUM CONCENTRATIONS; ANTARCTIC ICE; GREENLAND ICE; ALPINE SNOW; DOME-C; LEAD; COPPER; ZINC; POLLUTION; HISTORY</t>
  </si>
  <si>
    <t>During the last decades, ice cores drilled in Antarctica and in Greenland have provided time series of data that have allowed the characterisation of variations of natural and anthropogenic heavy metals in the past atmosphere. Nevertheless, the interactions of heavy metals with climate change and their transport patterns remain largely unknown during the last climatic cycles. Hereafter we present our project dealing with the assessment of past changes of various heavy metals in Antarctic and Greenland ice during the past approximate to 500 kyr anticipating some preliminary Zn measurements in the EPICA Dome C ice core back to about 200000 years. In our project special emphasis is given to Pt group elements (PGE) that are tracers of interplanetary dust particles (IDPs). Tracers of crustal material, volcanic activity and ocean paleoproductivity are also investigated. At the moment we are focusing especially on the ongoing EPICA Dome C Antarctic ice core, decontaminating mechanically some section and performing preliminary measurements of Zn and At using Graphite Furnace Atomic Absorption Spectrometry and adopting ultraclean procedures. These data confirm the prominent continental origin of Zn in the East Antarctic ice during the last and penultimate glacial period.</t>
  </si>
  <si>
    <t>CNRS, Lab Glaciol &amp; Geophys Environm, F-38402 St Martin Dheres, France; Univ Ca Foscari Venezia, Dipartimento Sci Ambientali, I-30123 Venice, Italy; Univ Milano Bicocca, Dipartimento Sci Ambientali, I-20126 Milan, Italy</t>
  </si>
  <si>
    <t>Centre National de la Recherche Scientifique (CNRS); Universita Ca Foscari Venezia; University of Milano-Bicocca</t>
  </si>
  <si>
    <t>CNRS, Lab Glaciol &amp; Geophys Environm, 54 Rue Moliere,BP 96, F-38402 St Martin Dheres, France.</t>
  </si>
  <si>
    <t>Frederic, Planchon A.M./A-8651-2010; Barbante, Carlo/B-3195-2011; Delmonte, Barbara/L-2555-2015</t>
  </si>
  <si>
    <t>Delmonte, Barbara/0000-0002-9074-2061; Barbante, Carlo/0000-0003-4177-2288; Planchon, Frederic/0000-0003-1288-9698</t>
  </si>
  <si>
    <t>10.1051/jp4:20030350</t>
  </si>
  <si>
    <t>WOS:000183782300123</t>
  </si>
  <si>
    <t>Hong, S; Park, JK; Boutron, CF; Ferrari, CP; Petit, JR; Lipenkov, VY</t>
  </si>
  <si>
    <t>Changes in the natural lead, cadmium, zinc, and copper concentrations in the Vostok Antarctic ice over the last two glacial-interglacial cycles (240,000 years)</t>
  </si>
  <si>
    <t>SNOW</t>
  </si>
  <si>
    <t>We present new ice core records showing the temporal variation in the natural Pb, Cd, Zn, and Cu concentrations in the Vostok Antarctic ice over the past 240,000 years. Our data show that concentrations of these heavy metals have varied remarkably over the last two glacial-interglacial cycles. The concentrations ranged from 0.9 to 21.3, 0.04 to 0.62, 3.12 to 126, and 2.27 to 37.4 pg/g for Ph, Cd, Zn, and Cu, respectively. These profiles provide a better understanding of climate-related variation in the occurrence of these heavy metals in ancient Antarctic ice. The concentrations were much higher during cold glacial periods than during interglacials, and peaked at the coldest glacial stages. The contribution of rock and soil dust is estimated to be close to the measured concentrations of Pb, Zn, and Cu, but not Cd, in the ice during cold glacial periods.</t>
  </si>
  <si>
    <t>Korea Ocean Res &amp; Dev Inst, Seoul 425600, South Korea; Inha Univ, Dept Oceanog, Inchon 402751, South Korea; CNRS, Lab Glaciol &amp; Geophys &amp; Environm, F-38402 St Martin Dheres, France; Univ Grenoble 1, Observ Sci Univers, Inst Univ France, F-38041 Grenoble, France; Univ Grenoble 1, Observ Sci Univers, Unite Format &amp; Rech Phys, F-38041 Grenoble, France; Univ Grenoble 1, Inst Sci &amp; Tech, F-38041 Grenoble, France; Arctic &amp; Antarctic Res Inst, St Petersburg 199397, Russia</t>
  </si>
  <si>
    <t>Korea Institute of Ocean Science &amp; Technology (KIOST); Inha University; Centre National de la Recherche Scientifique (CNRS); Institut Universitaire de France; Communaute Universite Grenoble Alpes; Universite Grenoble Alpes (UGA); Communaute Universite Grenoble Alpes; Universite Grenoble Alpes (UGA); Communaute Universite Grenoble Alpes; Universite Grenoble Alpes (UGA); Arctic &amp; Antarctic Research Institute</t>
  </si>
  <si>
    <t>Hong, S (corresponding author), Korea Ocean Res &amp; Dev Inst, POB 29, Seoul 425600, South Korea.</t>
  </si>
  <si>
    <t>Lipenkov, Vladimir/Q-8262-2016</t>
  </si>
  <si>
    <t>10.1051/jp4:20030382</t>
  </si>
  <si>
    <t>WOS:000183782300155</t>
  </si>
  <si>
    <t>Hong, S; Park, JK; Thompson, LG; Boutron, CF; Ferrari, CP; Francou, B; Maurice-Bourgoin, L</t>
  </si>
  <si>
    <t>Changes in the occurrence of heavy metals in the tropical atmosphere during the past 22,000 years as recorded in Bolivian ice core</t>
  </si>
  <si>
    <t>LEAD POLLUTION; ANTARCTIC SNOW; GREENLAND SNOW; HEMISPHERE; HISTORY; COPPER; ROMAN</t>
  </si>
  <si>
    <t>Nine sections from the Sajama ice core recovered from the summit of an extinct Andean volcano in Bolivia were analysed for various heavy metals to assess anthropogenic changes in the tropical upper troposphere over South America. These samples include two sections dating from 14,100 to 19,200 years BP, corresponding to the Last Glacial Stage (LGS), one section dating from 2800 years BP (the late Holocene), and six sections dating from AD 790 to 1988. Our preliminary data, combined with data reported elsewhere, demonstrate that the heavy metal concentrations since the late Holocene are higher than in the period from the LGS to the early Holocene. The enrichment factors calculated by normalizing for crustal abundance using the metal/Al ratio in the mean upper continental crust indicate that a significant input of heavy metals attributed to anthropogenic contributions has occurred since the beginning of the 19th century for Pb and from the last century for Cd, Cu, and Zn.</t>
  </si>
  <si>
    <t>Korea Ocean Res &amp; Dev Inst, Polar Sci Lab, Seoul 425600, South Korea; Inha Univ, Dept Oceanog, Inchon 402751, South Korea; Ohio State Univ, Dept Geol Sci, Byrd Polar Res Ctr, Columbus, OH 43210 USA; CNRS, Lab Glaciol &amp; Geophys Environm, F-38402 St Martin Dheres, France; Univ Grenoble 1, Inst Univ France, Observ Sci Univers, F-38041 Grenoble, France; Univ Grenoble 1, Inst Univ France, Unite Format &amp; Rech Phys, F-38041 Grenoble, France; Univ Grenoble 1, Inst Sci &amp; Tech, F-38041 Grenoble, France; Inst Rech Dev Bolivie, La Paz 9214, Bolivia</t>
  </si>
  <si>
    <t>Korea Institute of Ocean Science &amp; Technology (KIOST); Inha University; University System of Ohio; Ohio State University; Centre National de la Recherche Scientifique (CNRS); Communaute Universite Grenoble Alpes; Universite Grenoble Alpes (UGA); Institut Universitaire de France; Communaute Universite Grenoble Alpes; Universite Grenoble Alpes (UGA); Institut Universitaire de France; Communaute Universite Grenoble Alpes; Universite Grenoble Alpes (UGA)</t>
  </si>
  <si>
    <t>Hong, S (corresponding author), Korea Ocean Res &amp; Dev Inst, Polar Sci Lab, POB 29, Seoul 425600, South Korea.</t>
  </si>
  <si>
    <t>Maurice, Laurence/T-2636-2019; Maurice, Laurence/H-5763-2015</t>
  </si>
  <si>
    <t>Maurice, Laurence/0000-0003-3482-3892;</t>
  </si>
  <si>
    <t>10.1051/jp4:20030383</t>
  </si>
  <si>
    <t>WOS:000183782300156</t>
  </si>
  <si>
    <t>Planchon, FAM; Barbante, C; Boutron, CF; Bulat, S; Cescon, P; Cozzi, G; Dommergue, A; Ferrari, CP; Gabrielli, P; Petit, JR</t>
  </si>
  <si>
    <t>Trace elements in accreted ice from the Vostok sub-glacial lake, Antarctica: Initial results</t>
  </si>
  <si>
    <t>MASS-SPECTROMETRY; HEAVY-METALS; SNOW; SUBPICOGRAM</t>
  </si>
  <si>
    <t>We present in this study initial results on trace elements concentrations changes in the deepest part of the Vostok ice core. From 3310 m depth to the bottom of the ice core (3623 m), ice encountered is made of disturbed glacial ice by glacier dynamics and accreted ice from the sub-glacial lake Vostok. Since trace elements are involved in various biogeochemical processes, studying these elements in the accreted ice of the Vostok lake can lead to a better understanding of lake chemistry and life development in such extreme environment. Because concentrations to be measured in Antarctic ice are exceedingly low, such investigations on trace elements require strict control of contamination problems and the use of ultraclean protocols. Initial results obtained for Zn concentrations changes show high variability (&lt; 0.5 to 32 pg/g), with the lowest concentrations found in the accreted ice of the Vostok lake (&lt; 0.5 pg/g). According to crustal enrichment factors close to unity, Zn seems to be mainly associated with crustal material.</t>
  </si>
  <si>
    <t>CNRS, Lab Glaciol &amp; Geophys Environm, F-38042 Grenoble, France; Univ Cafoscari Venice, Dept Environm Sci, Venice, Italy; Petersburg Nucl Phys Inst, Gatchina 188350, Leningrad Reg, Russia</t>
  </si>
  <si>
    <t>Centre National de la Recherche Scientifique (CNRS); Communaute Universite Grenoble Alpes; Universite Grenoble Alpes (UGA); Universita Ca Foscari Venezia; National Research Centre - Kurchatov Institute; Petersburg Nuclear Physics Institute</t>
  </si>
  <si>
    <t>Planchon, FAM (corresponding author), CNRS, Lab Glaciol &amp; Geophys Environm, F-38042 Grenoble, France.</t>
  </si>
  <si>
    <t>dommergue, aurelien/HLP-6539-2023; Barbante, Carlo/B-3195-2011; Frederic, Planchon A.M./A-8651-2010; Cozzi, Giulio/R-4554-2019; Cozzi, Giulio/F-6473-2010</t>
  </si>
  <si>
    <t>dommergue, aurelien/0000-0002-8185-9604; Cozzi, Giulio/0000-0001-8796-4176; Planchon, Frederic/0000-0003-1288-9698; Cescon, Paolo/0000-0003-1836-6759; Barbante, Carlo/0000-0003-4177-2288; Bulat, Sergey/0000-0002-2574-882X</t>
  </si>
  <si>
    <t>10.1051/jp4:20030484</t>
  </si>
  <si>
    <t>694PG</t>
  </si>
  <si>
    <t>WOS:000183782500082</t>
  </si>
  <si>
    <t>Vallelonga, P; Candelone, JP; Curran, MAJ; Morgan, VI; Rosman, KJR</t>
  </si>
  <si>
    <t>Isotopic and elemental relics of the 1815 AD Tambora eruption in ice from Law Dome, Antarctica</t>
  </si>
  <si>
    <t>HEAVY-METALS; ARC LAVAS; GREENLAND; LEAD; SNOW; PB; EMISSIONS; VOLCANISM; HISTORY; BISMUTH</t>
  </si>
  <si>
    <t>Lead isotopes and Ph, Ba and Bi concentrations have been recently measured at sub-annual resolution in an ice core section from Law Dome, Antarctica, corresponding to the period 1814 - 1819 AD and containing a SO42- signal attributed to the 1815 AD eruption of Tambora volcano in Indonesia. While increasing concentrations of Ph and Bi coincide with the 1817-1818 AD volcanic SO42- peak, Ph isotope data do not confirm Tambora as the source. Barium concentrations were elevated from 1816.5 to 1818.5 AD, indicating increased atmospheric dust levels. These findings contribute to the growing body of data indicating that effusive, rather than explosive, volcanism is the most important volcanic emission process determining the flux of volcanogenic heavy metals to the polar ice sheets.</t>
  </si>
  <si>
    <t>Curtin Univ Technol, Dept Appl Phys, Perth, WA 6845, Australia; Antarctic CRC &amp; Australian Antartic Div, Hobart, Tas 7001, Australia</t>
  </si>
  <si>
    <t>Curtin Univ Technol, Dept Appl Phys, GPO Box U1987, Perth, WA 6845, Australia.</t>
  </si>
  <si>
    <t>10.1051/jp4:20030546</t>
  </si>
  <si>
    <t>WOS:000183782500144</t>
  </si>
  <si>
    <t>Troshichev, OA; Egorova, LV; Vovk, VY</t>
  </si>
  <si>
    <t>Evidence for influence of the solar wind variations on atmospheric temperature in the southern polar region</t>
  </si>
  <si>
    <t>JOURNAL OF ATMOSPHERIC AND SOLAR-TERRESTRIAL PHYSICS</t>
  </si>
  <si>
    <t>interplanetary magnetic field; interplanetary electric field; atmospheric temperature; pressure and winds; katabatic system of circulation</t>
  </si>
  <si>
    <t>BARIC FIELD PERTURBATIONS; GALACTIC COSMIC-RAYS; SHORT-TERM CHANGES; FORBUSH-DECREASES; STRATOSPHERE; DISTURBANCES; CLIMATE</t>
  </si>
  <si>
    <t>Detailed analysis of meteorological and aerological data from Vostok station (Antarctica) for 1978-1992 made it possible to conclude that dramatic changes of the troposphere temperature, observed in the southern polar region, are related to the variations of the interplanetary magnetic field (IMF). The warming is observed at ground level and cooling at h &gt; 10 km if the IMF vertical component decreases (DeltaB(Z) &lt; 0). The opposite deviation of the atmospheric temperatures (cooling at the ground level and warming at h &gt; 10 km) is observed for DeltaB(Z) &gt; 0. There is a linear relationship between the value of change in the interplanetary electric field (DeltaE(SW)) and ground temperature at Vostok station: the larger is the leap in the E-SW the stronger is the temperature deviation. The effect reaches maximum within 1 day and is damped equally quickly. The tropospheric pressure and horizontal winds respond to the E-SW fluctuations as well. It is suggested that the interplanetary electric field affects the katabatic system of atmospheric circulation typical of the ice dome in winter Antarctic. (C) 2003 Elsevier Ltd. All rights reserved.</t>
  </si>
  <si>
    <t>State Sci Ctr Russian Federat, Arctic &amp; Antarctic Res Inst, St Petersburg 199397, Russia</t>
  </si>
  <si>
    <t>Arctic &amp; Antarctic Research Institute</t>
  </si>
  <si>
    <t>Troshichev, OA (corresponding author), State Sci Ctr Russian Federat, Arctic &amp; Antarctic Res Inst, 38 Bering St, St Petersburg 199397, Russia.</t>
  </si>
  <si>
    <t>1364-6826</t>
  </si>
  <si>
    <t>J ATMOS SOL-TERR PHY</t>
  </si>
  <si>
    <t>J. Atmos. Sol.-Terr. Phys.</t>
  </si>
  <si>
    <t>10.1016/S1364-6826(03)00112-3</t>
  </si>
  <si>
    <t>Geochemistry &amp; Geophysics; Meteorology &amp; Atmospheric Sciences</t>
  </si>
  <si>
    <t>704QV</t>
  </si>
  <si>
    <t>WOS:000184352100005</t>
  </si>
  <si>
    <t>Krämer, M; Müller, RI; Bovensmann, H; Burrows, J; Brinkmann, J; Röth, EP; Grooss, JU; Müller, RO; Woyke, TH; Ruhnke, R; Günther, G; Hendricks, J; Lippert, E; Carslaw, KS; Peter, T; Zieger, A; Brühl, CH; Steil, B; Lehmann, R; McKenna, DS</t>
  </si>
  <si>
    <t>Intercomparison of stratospheric chemistry models under polar vortex conditions</t>
  </si>
  <si>
    <t>JOURNAL OF ATMOSPHERIC CHEMISTRY</t>
  </si>
  <si>
    <t>participating models; scenarios arctic case study</t>
  </si>
  <si>
    <t>IN-SITU MEASUREMENTS; OZONE LOSS RATES; ARCTIC STRATOSPHERE; DEPLETION; IMPACT; ATMOSPHERE; AEROSOLS; CHLORINE; CLO</t>
  </si>
  <si>
    <t>Several stratospheric chemistry modules from box, 2-D or 3-D models, have been intercompared. The intercomparison was focused on the ozone loss and associated reactive species under the conditions found in the cold, wintertime Arctic and Antarctic vortices. Comparisons of both gas phase and heterogeneous chemistry modules show excellent agreement between the models under constrained conditions for photolysis and the microphysics of polar stratospheric clouds. While the mean integral ozone loss ranges from 4-80% for different 30-50 days long air parcel trajectories, the mean scatter of model results around these values is only about +/-1.5%. In a case study, where the models employed their standard photolysis and microphysical schemes, the variation around the mean percentage ozone loss increases to about +/-7%. This increased scatter of model results is mainly due to the different treatment of the PSC microphysics and heterogeneous chemistry in the models, whereby the most unrealistic assumptions about PSC processes consequently lead to the least representative ozone chemistry. Furthermore, for this case study the model results for the ozone mixing ratios at different altitudes were compared with a measured ozone profile to investigate the extent to which models reproduce the stratospheric ozone losses. It was found that mainly in the height range of strong ozone depletion all models underestimate the ozone loss by about a factor of two. This finding corroborates earlier studies and implies a general deficiency in our understanding of the stratospheric ozone loss chemistry rather than a specific problem related to a particular model simulation.</t>
  </si>
  <si>
    <t>Forschungszentrum Julich, Inst Stratosphar Chem, ICG 1, D-52425 Julich, Germany; Univ Essen Gesamthsch, Inst Phys Chem, D-45117 Essen, Germany; Univ Bremen, Inst Umweltphys, D-28334 Bremen, Germany; Forschungszentrum Karlsruhe, Inst Meteorol &amp; Klimaforsch, D-76021 Karlsruhe, Germany; Max Planck Inst Geophys &amp; Meteorol, D-50931 Cologne, Germany; Max Planck Inst Chem Mainz, Abt Chem Atmosphare, D-55020 Mainz, Germany; Alfred Wegener Inst Polar &amp; Meeresforsch Potsdam, D-14473 Potsdam, Germany</t>
  </si>
  <si>
    <t>Helmholtz Association; Research Center Julich; University of Duisburg Essen; University of Bremen; Helmholtz Association; Karlsruhe Institute of Technology; Max Planck Society; Max Planck Society; Helmholtz Association; Alfred Wegener Institute, Helmholtz Centre for Polar &amp; Marine Research</t>
  </si>
  <si>
    <t>Grooß, Jens-Uwe/A-7315-2013; Carslaw, Ken S/C-8514-2009; Ruhnke, Roland/J-8800-2012; Burrows, John Philip/AAF-8468-2019; Peter, Thomas/B-2529-2018; Grooß, Jens-Uwe/N-3305-2019; Krämer, Martina/A-7482-2013; McKenna, Daniel/E-7806-2014; Guenther, Gebhard/K-7583-2012; Bovensmann, Heinrich/P-4135-2016; Muller, Rolf/A-6669-2013</t>
  </si>
  <si>
    <t>Grooß, Jens-Uwe/0000-0002-9485-866X; Carslaw, Ken S/0000-0002-6800-154X; Ruhnke, Roland/0000-0002-0353-1603; Burrows, John Philip/0000-0002-6821-5580; Peter, Thomas/0000-0002-7218-7156; Grooß, Jens-Uwe/0000-0002-9485-866X; Krämer, Martina/0000-0002-2888-1722; McKenna, Daniel/0000-0002-4360-4782; Guenther, Gebhard/0000-0003-4111-6221; Bovensmann, Heinrich/0000-0001-8882-4108; Muller, Richard/0000-0002-0376-0393; Muller, Rolf/0000-0002-5024-9977</t>
  </si>
  <si>
    <t>0167-7764</t>
  </si>
  <si>
    <t>1573-0662</t>
  </si>
  <si>
    <t>J ATMOS CHEM</t>
  </si>
  <si>
    <t>J. Atmos. Chem.</t>
  </si>
  <si>
    <t>10.1023/A:1024056026432</t>
  </si>
  <si>
    <t>686MF</t>
  </si>
  <si>
    <t>WOS:000183325000004</t>
  </si>
  <si>
    <t>Mohammadi, AH; Tohidi, B; Burgass, RW</t>
  </si>
  <si>
    <t>Equilibrium data and thermodynamic modeling of nitrogen, oxygen, and air clathrate hydrates</t>
  </si>
  <si>
    <t>JOURNAL OF CHEMICAL AND ENGINEERING DATA</t>
  </si>
  <si>
    <t>MIXTURES; PREDICTION; METHANE; FLUIDS; WATER</t>
  </si>
  <si>
    <t>Air hydrates can form at high-pressure and low-temperature conditions found in deep ice sheets of Arctic and Antarctic regions. These hydrates can play a major role in analyzing the data gathered in these regions. However, there are limited experimental data and thermodynamic modeling on air hydrates. In this work, we present new experimental data on methane, nitrogen, oxygen, and air hydrates. An experimental setup based on a quartz crystal microbalance (QCM) has been used in measuring all the experimental data reported in this work. The QCM method needs much smaller samples, resulting in a significant reduction in the time required for each experiment. The available data on oxygen hydrates are used in optimizing the Kihara potential parameters for oxygen hydrates. Using the previously reported nitrogen Kihara potential parameters and the optimized Kihara potential parameters for oxygen, the hydrate stability zone of air hydrates (21 mol % oxygen and 79 mol % nitrogen) has been predicted. The predictions of the thermodynamic model are in good agreement with the independent experimental data on air hydrates, demonstrating the reliability of experimental and modeling techniques used in this work.</t>
  </si>
  <si>
    <t>Heriot Watt Univ, Ctr Gas Hydrate Res, Inst Petroleum Engn, Edinburgh EH14 4AS, Midlothian, Scotland</t>
  </si>
  <si>
    <t>Heriot Watt University</t>
  </si>
  <si>
    <t>Tohidi, B (corresponding author), Heriot Watt Univ, Ctr Gas Hydrate Res, Inst Petroleum Engn, Edinburgh EH14 4AS, Midlothian, Scotland.</t>
  </si>
  <si>
    <t>Tohidi, Bahman/0000-0001-5656-5754</t>
  </si>
  <si>
    <t>0021-9568</t>
  </si>
  <si>
    <t>J CHEM ENG DATA</t>
  </si>
  <si>
    <t>J. Chem. Eng. Data</t>
  </si>
  <si>
    <t>10.1021/je025608x</t>
  </si>
  <si>
    <t>Thermodynamics; Chemistry, Multidisciplinary; Engineering, Chemical</t>
  </si>
  <si>
    <t>Thermodynamics; Chemistry; Engineering</t>
  </si>
  <si>
    <t>676RG</t>
  </si>
  <si>
    <t>WOS:000182765600030</t>
  </si>
  <si>
    <t>Zorita, E; González-Rouco, F; Legutke, S</t>
  </si>
  <si>
    <t>Testing the Mann et al. (1998) approach to paleoclimate reconstructions in the context of a 1000-yr control simulation with the ECHO-G coupled climate model</t>
  </si>
  <si>
    <t>GENERAL-CIRCULATION MODEL; TEMPERATURE; ATTRIBUTION; VARIABILITY; MILLENNIUM; CENTURIES; EUROPE</t>
  </si>
  <si>
    <t>Statistical reconstructions of past climate variability based on climate indicators face several uncertainties: for instance, to what extent is the network of available proxy indicators dense enough for a meaningful estimation of past global temperatures?; can statistical models, calibrated with data at interannual timescales be used to estimate the low-frequency variability of the past climate?; and what is the influence of the limited spatial coverage of the instrumental records used to calibrate the statistical models? Possible answers to these questions are searched by applying the statistical method of Mann et al. to a long control climate simulation as a climate surrogate. The role of the proxy indicators is played by the temperature simulated by the model at selected grid points. It is found that generally a set of a few tens of climate indicators is enough to provide a meaningful estimation (resolved variance of about 30%) of the simulated global annual temperature at annual timescales. The reconstructions based on around 10 indicators are barely able to resolve 10% of the temperature variance. The skill of the regression model increases at lower frequencies, so that at timescales longer than 20 yr the explained variance may reach 65%. However, the reconstructions tend to underestimate some periods of global cooling that are associated with temperatures anomalies off the Antarctic coast and south of Greenland lasting for about 20 yr. Also, it is found that in one 100-yr period, the low-frequency behavior of the global temperature evolution is not well reproduced, the error being probably related to tropical dynamics. This analysis could be influenced by the lack of a realistic variability of external forcing in the simulation and also by the quality of simulated key variability modes, such as ENSO. Both factors can affect the large-scale coherence of the temperature field and, therefore, the skill of the statistical models.</t>
  </si>
  <si>
    <t>GKSS Forschungszentrum Geesthacht GmbH, Inst Coastal Res, D-21502 Geesthacht, Germany; Max Planck Inst Meteorol, Hamburg, Germany</t>
  </si>
  <si>
    <t>Helmholtz Association; Helmholtz-Zentrum Hereon; Max Planck Society</t>
  </si>
  <si>
    <t>Zorita, E (corresponding author), GKSS Forschungszentrum Geesthacht GmbH, Inst Coastal Res, Max Planck Str 1, D-21502 Geesthacht, Germany.</t>
  </si>
  <si>
    <t>Gonzalez-Rouco, Jesus Fidel/B-1761-2012</t>
  </si>
  <si>
    <t>Gonzalez-Rouco, Jesus Fidel/0000-0001-7090-6797</t>
  </si>
  <si>
    <t>10.1175/1520-0442(2003)16&lt;1378:TTMEAA&gt;2.0.CO;2</t>
  </si>
  <si>
    <t>672TN</t>
  </si>
  <si>
    <t>WOS:000182538900008</t>
  </si>
  <si>
    <t>Nevitt, GA; Haberman, K</t>
  </si>
  <si>
    <t>Behavioral attraction of Leach's storm-petrels (Oceanodroma leucorhoa) to dimethyl sulfide</t>
  </si>
  <si>
    <t>dimethyl sulfide; DMS; procellariiform seabird; olfaction; Leach's storm-petrel; Oceanodroma leucorhoa; smell</t>
  </si>
  <si>
    <t>ANTARCTIC PROCELLARIIFORM SEABIRDS; MYCTOPHID FISHES; WATERS</t>
  </si>
  <si>
    <t>A recent model for olfactory foraging by procellariiform seabirds suggests that these birds use biogenic sulfur compounds to locate productive areas for foraging in the southern oceans. The present study refines a simple approach to test birds' responses to odors on land and extends our knowledge to a northern species, the Leach's storm-petrel (Oceanodroma leucorhoa). Rather than working at sea, we tested the behavioral response to dimethyl sulfide (DMS) at night in breeding colonies on Kent Island, New Brunswick, Canada. Birds were presented with either 5 ml DMS (100 mumol l(-1) concentration) or control (water) solutions from a platform 1.5 m in height positioned in a flyway 10 m from a breeding colony. We also tested birds' responses to cod liver oil, a well-established olfactory attractant of procellariiforms foraging at sea. Leach's storm-petrels approached DMS presentations nearly twice as frequently as they approached controls. We next compared the distribution of approaches against a Poisson process to test for evidence of social cueing. We found that approaches to DMS were significantly clustered. By contrast, the distribution of approaches did not depart significantly from a Poisson distribution for either cod liver oil or control presentations. Taken together, these results suggest that Leach's storm-petrels can smell DMS and potentially use it as a foraging cue. The results are consistent with the hypothesis that the detection of biogenic sulfur compounds in combination with other cues assists birds in locating foraging hotspots.</t>
  </si>
  <si>
    <t>Univ Calif Davis, Div Biol Sci, Sect Neurobiol Physiol &amp; Behav, Davis, CA 95616 USA; Western Oregon Univ, Div Nat Sci &amp; Math, Monmouth, OR 97316 USA</t>
  </si>
  <si>
    <t>University of California System; University of California Davis; Western Oregon University</t>
  </si>
  <si>
    <t>Nevitt, GA (corresponding author), Univ Calif Davis, Div Biol Sci, Sect Neurobiol Physiol &amp; Behav, Davis, CA 95616 USA.</t>
  </si>
  <si>
    <t>Liu, Zhilei/B-3733-2015</t>
  </si>
  <si>
    <t>Liu, Zhilei/0000-0003-1447-6256</t>
  </si>
  <si>
    <t>10.1242/jeb.00287</t>
  </si>
  <si>
    <t>677JQ</t>
  </si>
  <si>
    <t>WOS:000182804100016</t>
  </si>
  <si>
    <t>King, M; Colemar, R; Nguyen, LN</t>
  </si>
  <si>
    <t>Spurious periodic horizontal signals in sub-daily GPS position estimates</t>
  </si>
  <si>
    <t>global positioning system (GPS); horizontal signals; ocean loading; ice motion</t>
  </si>
  <si>
    <t>ICE SHELF; ANTARCTICA</t>
  </si>
  <si>
    <t>Periodic horizontal signals have been identified in sub-daily estimates of position obtained from GPS data using batch least-squares solutions. The estimation of sub-daily position is commonly used for ocean loading and ice movement studies, for example. These spurious motions are artefacts of the processing methodology due to the presence of unmodelled, tidally-induced vertical signals in the GPS data. The periodic horizontal signals have magnitudes of about 40-50% of the amplitude of the vertical periodic signal. The shape of the periodic horizontal signals is related to the first derivative and the square of the vertical signal. The artefacts are mostly evident in the cast-west component and can be removed by fixing the carrier phase ambiguities to integer values. We introduce a sensitivity analysis to study in detail the effects of ambiguity resolution and latitudinal variation of the artefacts. The overall conclusions are that for high precision batch processing of time series of geodetic positions, using sub-daily data spans, care needs to be taken to avoid Abasing of horizontal coordinates due to the vertical motion of the site.</t>
  </si>
  <si>
    <t>Univ Tasmania, Ctr Spatial Informat Sci, Hobart, Tas 7001, Australia; Univ Tasmania, Antarctic CRC, Hobart, Tas 7001, Australia; CSIRO, Marine Res, Hobart, Tas 7001, Australia</t>
  </si>
  <si>
    <t>University of Tasmania; University of Tasmania; Commonwealth Scientific &amp; Industrial Research Organisation (CSIRO)</t>
  </si>
  <si>
    <t>King, M (corresponding author), Univ Newcastle Upon Tyne, Sch Civil Engn &amp; Geosci, Bedson Bldg, Newcastle Upon Tyne NE1 7RU, Tyne &amp; Wear, England.</t>
  </si>
  <si>
    <t>King, Matt/B-4622-2008; Coleman, Richard/H-4425-2012</t>
  </si>
  <si>
    <t>King, Matt/0000-0001-5611-9498; Coleman, Richard/0000-0002-9731-7498</t>
  </si>
  <si>
    <t>10.1007/s00190-002-0308-z</t>
  </si>
  <si>
    <t>687MK</t>
  </si>
  <si>
    <t>WOS:000183380400002</t>
  </si>
  <si>
    <t>Sura, P; Gille, ST</t>
  </si>
  <si>
    <t>Interpreting wind-driven Southern Ocean variability in a stochastic framework</t>
  </si>
  <si>
    <t>ANTARCTIC CIRCUMPOLAR CURRENT; PROBABILITY DENSITY-FUNCTIONS; FOKKER-PLANCK EQUATION; TURBULENT CASCADE; DATA SETS; MODELS</t>
  </si>
  <si>
    <t>dA stochastic model is derived from wind stress and bottom pressure gauge data to examine the response of the Antarctic Circumpolar Current (ACC) transport to wind stress forcing. A general method is used to estimate the drift and diffusion coefficients of a continuous stationary Markovian system. As a first approximation, the response of the ACC to wind stress forcing can be described by a multivariate Omstein-Uhlenbeck process: Gaussian red noise wind stress drives the evolution of the ACC transport, which is damped by a linear drag term. The model indicates that about 30(+/-10)% of ACC variability is directly driven by the wind stress. This stochastic model can serve as a null hypothesis for studies of wind driven ACC variability. A more accurate stochastic description of the wind stress over the Southern Ocean requires a multiplicative noise component. The variability of the wind stress increases approximately linearly with increasing wind stress values. A multiplicative stochastic process generates a power-law distribution rather than a Gaussian distribution. A simple stochastic model shows that non-Gaussian forcing could have a significant impact on the velocity (or transport) probability density functions (PDFs) of the wind-driven circulation. The net oceanic damping determines whether the distribution of the oceanic flow is Gaussian (small damping) or resembles the distribution of the atmospheric forcing (large damping).</t>
  </si>
  <si>
    <t>Scripps Inst Oceanog, Phys Oceanog Res Div, La Jolla, CA 92093 USA</t>
  </si>
  <si>
    <t>Sura, P (corresponding author), NOAA, CIRES, Climate Diagnost Ctr, R-CDC1,325 Broadway, Boulder, CO 80305 USA.</t>
  </si>
  <si>
    <t>Philip.Sura@noaa.gov</t>
  </si>
  <si>
    <t>1543-9542</t>
  </si>
  <si>
    <t>10.1357/002224003322201214</t>
  </si>
  <si>
    <t>708KJ</t>
  </si>
  <si>
    <t>WOS:000184565700002</t>
  </si>
  <si>
    <t>Baker, GC; Tow, LA; Cowan, DA</t>
  </si>
  <si>
    <t>PCR-based detection of non-indigenous microorganisms in 'pristine' environments</t>
  </si>
  <si>
    <t>JOURNAL OF MICROBIOLOGICAL METHODS</t>
  </si>
  <si>
    <t>antarctica; endemism; human commensals; primer design; psychrophile</t>
  </si>
  <si>
    <t>POLYMERASE-CHAIN-REACTION; MALASSEZIA-PACHYDERMATIS; STAPHYLOCOCCUS-AUREUS; RAPID IDENTIFICATION; ENTERIC BACTERIA; FECAL POLLUTION; CRUDE-OIL; DNA; SEA; SOIL</t>
  </si>
  <si>
    <t>PCR-based technologies are widely employed for the detection of specific microorganisms, and may be applied to the identification of non-indigenous microorganisms in 'pristine' environments. For 'pristine' environments such as those found on the Antarctic continent, the application of these methods to the assessment of environmental contamination from human activities must be treated with caution. Issues such as the possibility of non-human dispersal of organisms, stability and survival of non-indigenous organisms in vivo, the sensitivity, reproducibility and specificity of the PCR process (and particularly primer design) and the sampling regime employed must all be considered in detail. We conclude that despite these limitations, PCR and related technologies offer. enormous scope for assessment of both natural and non-indigenous microbial distributions. (C) 2003 Elsevier Science B.V. All rights reserved.</t>
  </si>
  <si>
    <t>Univ Western Cape, Dept Biotechnol, Cape Town, South Africa</t>
  </si>
  <si>
    <t>University of the Western Cape</t>
  </si>
  <si>
    <t>Univ Western Cape, Dept Biotechnol, Private Bag X17, Cape Town, South Africa.</t>
  </si>
  <si>
    <t>gbaker@uwc.ac.za; dcowan@uwc.ac.za</t>
  </si>
  <si>
    <t>Cowan, Donald A/E-3991-2012</t>
  </si>
  <si>
    <t>Cowan, Donald A/0000-0001-8059-861X</t>
  </si>
  <si>
    <t>0167-7012</t>
  </si>
  <si>
    <t>1872-8359</t>
  </si>
  <si>
    <t>J MICROBIOL METH</t>
  </si>
  <si>
    <t>J. Microbiol. Methods</t>
  </si>
  <si>
    <t>10.1016/S0167-7012(03)00021-6</t>
  </si>
  <si>
    <t>Biochemical Research Methods; Microbiology</t>
  </si>
  <si>
    <t>668NB</t>
  </si>
  <si>
    <t>WOS:000182299100004</t>
  </si>
  <si>
    <t>McDougall, TJ</t>
  </si>
  <si>
    <t>Potential enthalpy: A conservative oceanic variable for evaluating heat content and heat fluxes</t>
  </si>
  <si>
    <t>HYDROGRAPHIC DATA; SCALE BUDGETS; ENERGY; CIRCULATION; EQUATIONS; TRANSPORT; MODEL</t>
  </si>
  <si>
    <t>Potential temperature is used in oceanography as though it is a conservative variable like salinity; however, turbulent mixing processes conserve enthalpy and usually destroy potential temperature. This negative production of potential temperature is similar in magnitude to the well-known production of entropy that always occurs during mixing processes. Here it is shown that potential enthalpy-the enthalpy that a water parcel would have if raised adiabatically and without exchange of salt to the sea surface-is more conservative than potential temperature by two orders of magnitude. Furthermore, it is shown that a flux of potential enthalpy can be called the heat flux'' even though potential enthalpy is undefined up to a linear function of salinity. The exchange of heat across the sea surface is identically the flux of potential enthalpy. This same flux is not proportional to the flux of potential temperature because of variations in heat capacity of up to 5%. The geothermal heat flux across the ocean floor is also approximately the flux of potential enthalpy with an error of no more that 0.15%. These results prove that potential enthalpy is the quantity whose advection and diffusion is equivalent to advection and diffusion of heat'' in the ocean. That is, it is proven that to very high accuracy, the first law of thermodynamics in the ocean is the conservation equation of potential enthalpy. It is shown that potential enthalpy is to be preferred over the Bernoulli function. A new temperature variable called conservative temperature'' is advanced that is simply proportional to potential enthalpy. It is shown that present ocean models contain typical errors of 0.1degreesC and maximum errors of 1.4degreesC in their temperature because of the neglect of the nonconservative production of potential temperature. The meridional flux of heat through oceanic sections found using this conservative approach is different by up to 0.4% from that calculated by the approach used in present ocean models in which the nonconservative nature of potential temperature is ignored and the specific heat at the sea surface is assumed to be constant. An alternative approach that has been recommended and is often used with observed section data, namely, calculating the meridional heat flux using the specific heat ( at zero pressure) and potential temperature, rests on an incorrect theoretical foundation, and this estimate of heat flux is actually less accurate than simply using the flux of potential temperature with a constant heat capacity.</t>
  </si>
  <si>
    <t>CSIRO, Div Marine Res, Antarctic CRC, Hobart, Tas 7001, Australia</t>
  </si>
  <si>
    <t>McDougall, TJ (corresponding author), CSIRO, Div Marine Res, Antarctic CRC, GPO Box 1538, Hobart, Tas 7001, Australia.</t>
  </si>
  <si>
    <t>10.1175/1520-0485(2003)033&lt;0945:PEACOV&gt;2.0.CO;2</t>
  </si>
  <si>
    <t>672TD</t>
  </si>
  <si>
    <t>WOS:000182537200001</t>
  </si>
  <si>
    <t>White, WB; Annis, JL</t>
  </si>
  <si>
    <t>Coupling of extratropical mesoscale eddies in the ocean to westerly winds in the atmospheric boundary layer</t>
  </si>
  <si>
    <t>SEA-SURFACE TEMPERATURE; LATITUDE NORTH PACIFIC; ROSSBY WAVES; KUROSHIO EXTENSION; GEOSAT ALTIMETRY; SOUTHERN-OCEAN; VARIABILITY; TOPEX/POSEIDON; PROPAGATION; INTERFACE</t>
  </si>
  <si>
    <t>The sea surface temperature (SST) signature in mesoscale eddies in the western boundary current extensions around the globe and in the Antarctic Circumpolar Current are found to alter the surface stress associated with background westerly winds, producing wind stress curl (WSC) residuals of eddy scale that are capable of modifying the eddy dynamics. This is revealed by examining satellite-derived mesoscale sea level height (SLH), SST, and neutrally stable zonal surface wind (ZSW) residuals together for 18 months. In the presence of background westerly winds on basin scales, warm mesoscale eddies reduce the stability of the marine atmospheric boundary layer, increasing the zonal air-sea momentum flux measured by satellite scatterometry. Warm SST residuals of similar to0.8degreesC are capable of producing westerly ZSW residuals of similar to1.2 m s(-1) under background westerly winds of similar to6 m s(-1). Alternatively, this means increasing the otherwise neutrally stable drag coefficient by similar to40%, consistent with in situ measurements. The resulting feedback from atmosphere to ocean through the resulting mesoscale WSC residuals (similar to5.0x10(-7) N m(-3)) produces residual Ekman pumping that can be on the same order as the residual SLH tendency in the eddy field. Moreover, the spatial phasing of the mesoscale WSC residuals acts, on average, to displace the mesoscale eddies equatorward with meridional coupling phase speeds of similar to0.01 m s(-1) while suppressing their amplitude.</t>
  </si>
  <si>
    <t>White, WB (corresponding author), Univ Calif San Diego, Scripps Inst Oceanog, La Jolla, CA 92093 USA.</t>
  </si>
  <si>
    <t>10.1175/1520-0485(2003)033&lt;1095:COEMEI&gt;2.0.CO;2</t>
  </si>
  <si>
    <t>WOS:000182537200010</t>
  </si>
  <si>
    <t>Pankhurst, RJ; Spalletti, L</t>
  </si>
  <si>
    <t>IGCP 436 pacific Gondwana Margin - Introduction</t>
  </si>
  <si>
    <t>British Geol Survey, Kingsley Dunham Ctr, Keyworth NG12 5GG, Notts, England; Natl Univ La Plata, Ctr Invest Geol, RA-1900 La Plata, Argentina</t>
  </si>
  <si>
    <t>UK Research &amp; Innovation (UKRI); Natural Environment Research Council (NERC); NERC British Geological Survey; National University of La Plata</t>
  </si>
  <si>
    <t>Pankhurst, RJ (corresponding author), British Antarctic Survey, NIGL Kingsley Dunham Ctr, Keyworth NG12 5QQ, Notts, England.</t>
  </si>
  <si>
    <t>10.1016/S0895-9811(03)00023-3</t>
  </si>
  <si>
    <t>699CP</t>
  </si>
  <si>
    <t>WOS:000184038600001</t>
  </si>
  <si>
    <t>Pankhurst, RJ; Ramos, A; Linares, E</t>
  </si>
  <si>
    <t>Antiquity of the Rio de la Plata craton in Tandilia, southern Buenos Aires province, Argentina</t>
  </si>
  <si>
    <t>Symposium on Structure and Development of the Pacific Margin of Gondwana</t>
  </si>
  <si>
    <t>NOV 12-16, 2001</t>
  </si>
  <si>
    <t>MONTEVIDEO, URUGUAY</t>
  </si>
  <si>
    <t>continental crust formation; geochronology; neodymium isotopes; proterozoic; transamazonian orogeny</t>
  </si>
  <si>
    <t>SR-ND ISOTOPES; GEOCHRONOLOGY; URUGUAY; GEOCHEMISTRY; EVOLUTION; GRANITES; SWARMS; ZIRCON; CRUST; AGE</t>
  </si>
  <si>
    <t>Rb-Sr and Sm-Nd whole-rock data for granitoids and orthogneisses from the western part of the Sierras Septentrionales of the southern Buenos Aires province yield an errorchron of 2009 +/- 71 Ma (initial Sr-87/Sr-86 = 0.7041, MSWD = 69) and an isochron of 2140 +/- 88 Ma (initial Nd-143/Nd-144 = 0.50977), respectively. As in previous investigations, the Rb-Sr data are clearly disturbed, but the Sm-Nd isochron may record the age of emplacement of igneous precursors. These results reaffirm that this region is the southern extension of the crystalline basement of the Rio de la Plata craton. The Sm-Nd age, though not very precise, is slightly older than previously demonstrated but consistent with most recent U-Pb studies of the craton exposed in Uruguay and Brazil. Crust-derived Sm-Nd model ages averaging 2620 +/- 80 Ma indicate that, though the principal rock-forming events were Paleoproterozoic, a Late Archaean prehistory is possible. However, the data place strict constraints on the nature and intensity of post-2000 Ma activity in this area, which seems to be confined to tholeiitic dyke emplacement and hydrothermal reactivation. (C) 2003 Elsevier Science Ltd. All rights reserved.</t>
  </si>
  <si>
    <t>British Geol Survey, NERC, Isotope Geosci Lab, Nottingham NG12 5GG, England; British Antarctic Survey, Cambridge CB3 0ET, England; Consejo Nacl Invest Cient &amp; Tecn, INGEIS, RA-1428 Buenos Aires, DF, Argentina</t>
  </si>
  <si>
    <t>UK Research &amp; Innovation (UKRI); Natural Environment Research Council (NERC); NERC British Geological Survey; UK Research &amp; Innovation (UKRI); Natural Environment Research Council (NERC); NERC British Antarctic Survey; Consejo Nacional de Investigaciones Cientificas y Tecnicas (CONICET)</t>
  </si>
  <si>
    <t>British Geol Survey, NERC, Isotope Geosci Lab, Nottingham NG12 5GG, England.</t>
  </si>
  <si>
    <t>r.pankhurst@bas.ac.uk; adriana@ingeis.uba.ar; linares@ingeis.uba.ar</t>
  </si>
  <si>
    <t>10.1016/S0895-9811(03)00015-4</t>
  </si>
  <si>
    <t>WOS:000184038600002</t>
  </si>
  <si>
    <t>Pankhurst, RJ; Rapela, CW; Loske, WP; Márquez, M; Fanning, CM</t>
  </si>
  <si>
    <t>Chronological study of the pre-Permian basement rocks of southern Patagonia</t>
  </si>
  <si>
    <t>Argentina; granites; Southwest Gondwana; U-PbSHRIMP</t>
  </si>
  <si>
    <t>ANTARCTIC PENINSULA; SIERRA; AGES</t>
  </si>
  <si>
    <t>Small outcrops of the basement of the Deseado Massif, consisting of weathered, altered granitoids and their metasedimentary host rocks, were dated by the U-Pb zircon method using thermal ionization mass spectrometry and ion microprobe (SHRIMP). The provenance ages of detrital zircon in the metasediments are typical of material available in the adjacent regions of the Gondwana margin, with prominent components at 1000- 1100 and 580 +/- 6 Ma, the latter probably approximating the age of sedimentation (latest Neoproterozoic). SHRIMP data for pre-Jurassic granodiorite from a borehole in the Magallanes basin in Tierra del Fuego give a Cambrian age of 521 +/- 4 Ma, which confirms published conventional U-Pb dating from the same borehole. SHRIMP ages of 476 +/- 4 and 472 +/- 5 Ma for granitic cobbles in a Permian conglomerate (La Golondrina Formation) are evidence of nearby Ordovician (Famatinian) intrusive activity. In situ granitoids indicate late Silurian to early Carboniferous ages (422 +/- 2, 395 +/- 3, and 346 +/- 4 Ma). All these events are recognised in the evolution of adjacent South America and the Antarctic Peninsula suggesting that these parts of the Gondwana margin were contiguous throughout their Cambrian to Jurassic history. (C) 2003 Elsevier Science Ltd. All rights reserved.</t>
  </si>
  <si>
    <t>British Antarctic Survey, Cambridge CB3 0ET, England; British Geol Survey, NERC, Isotope Geosci Lab, Nottingham NG12 5GG, England; Ctr Invest Geol, RA-1900 La Plata, Argentina; Univ Munster, Geol Palaontol Inst &amp; Museum, D-48149 Munster, Germany; Univ Nacl Patagonia San Juan Bosco, SEGEMAR, Inst Geol &amp; Recursos Minerales, Comodoro Rivadavia, Argentina; Australian Natl Univ, Res Sch Earth Sci, Canberra, ACT 0200, Australia</t>
  </si>
  <si>
    <t>UK Research &amp; Innovation (UKRI); Natural Environment Research Council (NERC); NERC British Antarctic Survey; UK Research &amp; Innovation (UKRI); Natural Environment Research Council (NERC); NERC British Geological Survey; University of Munster; Universidad Nacional de la Patagonia San Juan Bosco; Australian National University</t>
  </si>
  <si>
    <t>British Geol Survey, NERC, Isotope Geosci Lab, Nottingham N612 566, England.</t>
  </si>
  <si>
    <t>r.pankhurst@bas.ac.uk; crapela@cig.museo.unlp.edu.ar; sgmadrp@infovia.com.ar; mark.fanning@anu.edu.au</t>
  </si>
  <si>
    <t>10.1016/S0895-9811(03)00017-8</t>
  </si>
  <si>
    <t>WOS:000184038600004</t>
  </si>
  <si>
    <t>Hunter, MA; Lomas, SA</t>
  </si>
  <si>
    <t>Reconstructing the Siluro-Devonian coastline of Gondwana: insights from the sedimentology of the Port Stephens Formation, Falkland islands</t>
  </si>
  <si>
    <t>Gondwana; Falkland islands; Silurian; Devonian; sea level; lithofacies</t>
  </si>
  <si>
    <t>CAPE-MEREDITH COMPLEX; SEA-LEVEL CHANGES; WEST FALKLAND; FOLD BELT; EVOLUTION; STRATIGRAPHY; ELEMENT; LINKS; AGE</t>
  </si>
  <si>
    <t>Silurian and lower Devonian sedimentary successions are uncommon within the remnants of Gondwana. The Port Stephens Formation, the basal unit of the middle Palaeozoic West Falkland Group, presents a rare opportunity to study Gondwanan material of Siluro-Devonian age. The formation on West Falkland is c. 2560m thick and consists of five members: Plantation, Albemarle, Mount Alice, South Harbour and Fish Creek. Thirty-five lithofacies are defined using variations in grain size and bedding characteristics. The distribution of these lithofacies and their associated ichnofacies between the various members lead us to suggest terrestrial and shallow marine deposition on an extensive, gently shelving alluvial to coastal plain. Vertical facies trends through the Port Stephens Formation, and into the base of the overlying Fox Bay Formation, record a complex superposition of subenvironments within a distinct overall transgressive-regressive-transgressive pattern, with the bulk of sediment accumulating during the regressive phase. Palaeocurrents indicate a basin to the present-day NE throughout. These results, together with lithostratigraphic correlations between the Port Stephens Formation and the Nardouw Subgroup in South Africa, are consistent with a reconstructed position off eastern South Africa and on the palaeo-Pacific margin of Gondwana, requiring a near-180degrees rotation of the Falkland Island microplate during break-up, in agreement with previous models. We suggest that global changes in sea level during the mid-late Silurian and early Devonian strongly influenced changes in the depositional environment. Enhanced erosion of the continental margin and extensive sediment bypass during the regressive phase of this cycle could help to explain the low abundance of preserved Gondwanan material of this age.</t>
  </si>
  <si>
    <t>British Antarctic Survey, NERC, Cambridge CB3 0ET, England; Univ Aberdeen, Dept Geol &amp; Petr Geol, Kings Coll, Aberdeen AB24 3UE, Scotland</t>
  </si>
  <si>
    <t>UK Research &amp; Innovation (UKRI); Natural Environment Research Council (NERC); NERC British Antarctic Survey; University of Aberdeen</t>
  </si>
  <si>
    <t>Hunter, MA (corresponding author), British Antarctic Survey, NERC, Madingley Rd, Cambridge CB3 0ET, England.</t>
  </si>
  <si>
    <t>Lomas, Simon/0000-0002-3089-3626</t>
  </si>
  <si>
    <t>10.1144/0016-764902-038</t>
  </si>
  <si>
    <t>678VY</t>
  </si>
  <si>
    <t>WOS:000182888400012</t>
  </si>
  <si>
    <t>Moran, SB; Weinstein, SE; Edmonds, HN; Smith, JN; Kelly, RP; Pilson, MEQ; Harrison, WG</t>
  </si>
  <si>
    <t>Does 234Th/238U disequilibrium provide an accurate record of the export flux of particulate organic carbon from the upper ocean?</t>
  </si>
  <si>
    <t>CENTRAL EQUATORIAL PACIFIC; ANTARCTIC POLAR FRONT; THORIUM ISOTOPES; POC EXPORT; SEDIMENT TRAPS; SPRING BLOOM; SMALL-VOLUME; TIME-SERIES; FUNKA BAY; TRACER</t>
  </si>
  <si>
    <t>The magnitude of the flux of biogenic particulate organic carbon (POC) exported from the surface waters of the world ocean and remineralized at depth is critical to constraining models of the global carbon cycle, yet remains controversial. The use of upper ocean sediment traps is still one of the primary tools for determining this export flux, although trap fluxes have been shown to vary significantly because of hydrodynamic and sample collection biases. Over the past decade, Th-234 increasingly has been used as a tracer to estimate POC export from the euphotic zone by multiplying the depth-integrated Th-234 flux by the POC/Th-234 ratio of sinking particles. The accuracy of this technique is highly dependent on the natural variability in the POC/Tb-234 ratio and Th-234 flux, yet the significance of this variability to estimates of POC export remains uncertain. Based on an analysis of new Th-234 and POC data from the Labrador Sea and a review of 25 previous independent field studies, we report that POC export fluxes can vary 2-10 times or more solely because of variability in the POC/Th-234 ratio and procedures used to estimate the Th-234 flux. Recommended improvements include studies of the biological, chemical, and physical mechanisms controlling Th-234-organic matter interactions in seawater, detailed comparisons of POC/Th-234 ratios in size-fractionated and sediment trap material; increased spatial and temporal sampling density of Th-234; and more standardized procedures to calculate the Th-234 export flux.</t>
  </si>
  <si>
    <t>Univ Rhode Isl, Grad Sch Oceanog, Narragansett, RI 02882 USA; Univ Texas, Inst Marine Sci, Port Aransas, TX 78373 USA; Fisheries &amp; Oceans Canada, Bedford Inst Oceanog, Dartmouth, NS B2Y 4A2, Canada</t>
  </si>
  <si>
    <t>University of Rhode Island; University of Texas System; Fisheries &amp; Oceans Canada; Bedford Institute of Oceanography</t>
  </si>
  <si>
    <t>Univ Rhode Isl, Grad Sch Oceanog, Narragansett, RI 02882 USA.</t>
  </si>
  <si>
    <t>Kelly, Roger P/E-9396-2010</t>
  </si>
  <si>
    <t>Moran, Bradley/0000-0001-9263-2889</t>
  </si>
  <si>
    <t>10.4319/lo.2003.48.3.1018</t>
  </si>
  <si>
    <t>680MQ</t>
  </si>
  <si>
    <t>WOS:000182982300007</t>
  </si>
  <si>
    <t>Karsh, KL; Trull, TW; Lourey, AJ; Sigman, DM</t>
  </si>
  <si>
    <t>Relationship of nitrogen isotope fractionation to phytoplankton size and iron availability during the Southern Ocean Iron RElease Experiment (SOIREE)</t>
  </si>
  <si>
    <t>N-15 NATURAL-ABUNDANCE; NITRATE UTILIZATION; EQUATORIAL PACIFIC; EXPORT PRODUCTION; PARTICLES; CARBON; FERTILIZATION; POPULATIONS; DELTA-N-15; EVOLUTION</t>
  </si>
  <si>
    <t>The N-15 composition of sediments has been used as a proxy for nitrate utilization in surface waters to assess the role of Southern Ocean export production in glacial/interglacial changes in atmospheric CO2 concentration. Interpretation has relied on a temporally constant isotope effect (epsilon) associated with uptake and assimilation of nitrate by phytoplankton. To investigate the reliability of this approach, we examined the relationships between the N-15 compositions of dissolved nitrate, bulk and size-fractionated (200, 70, 20, 5, 1 mum) suspended particulate organic nitrogen (PON), and sinking particles obtained from sediment traps during the Southern Ocean iron release experiment (SOIREE). We found variations in phytoplankton nitrogen isotopic compositions with both cell size and iron availability. delta(15)N(PON) increased by &gt;2parts per thousand with increasing size, both within and outside the iron-enriched patch. In comparison to unfertilized waters, delta(15)N(PON) within the iron-fertilized patch was a further 3-4parts per thousand higher in those size fractions dominated by large diatoms (20-70, 70-200 mum). We speculate that this iron response might result from (1) variation in epsilon of nitrate utilization or (2) an iron-stimulated shift from ammonium-based to nitrate-based production. Comparing the delta(15)N of the large diatom-dominated size fractions to the delta(15)N of nitrate suggests relatively low epsilon values of 4-5parts per thousand, in contrast to estimated values of 7-10parts per thousand from seasonal nitrate depletion and export production. This suggests that higher glacial delta(15)N in Southern Ocean sediments could, in part, reflect increases in iron availability, dominant cell size, and possibly growth rates, and these effects must be considered in any quantitative scaling of delta(15)N variations, including those of diatom-bound delta(15)N, to the extent of nitrate utilization.</t>
  </si>
  <si>
    <t>Antarctic Cooperat Res Ctr, Hobart, Tas 7001, Australia; Univ Tasmania, Inst Antarctic &amp; So Ocean Studies, Hobart, Tas 7001, Australia; Australian Amer Fulbright Commiss, Canberra, ACT 2600, Australia; Princeton Univ, Dept Geosci, Princeton, NJ 08544 USA</t>
  </si>
  <si>
    <t>University of Tasmania; Australian American Fulbright Commission; Princeton University</t>
  </si>
  <si>
    <t>Antarctic Cooperat Res Ctr, GPO Box 252-80, Hobart, Tas 7001, Australia.</t>
  </si>
  <si>
    <t>Trull, Tom W/B-7028-2014; Sigman, Daniel M./A-2649-2008; Sigman, Daniel M./IYJ-2613-2023</t>
  </si>
  <si>
    <t>10.4319/lo.2003.48.3.1058</t>
  </si>
  <si>
    <t>WOS:000182982300011</t>
  </si>
  <si>
    <t>Cullen, JT; Chase, Z; Coale, KH; Fitzwater, SE; Sherrell, RM</t>
  </si>
  <si>
    <t>Effect of iron limitation on the cadmium to phosphorus ratio of natural phytoplankton assemblages from the Southern Ocean</t>
  </si>
  <si>
    <t>DIATOM THALASSIOSIRA-WEISSFLOGII; MARINE DIATOM; SURFACE WATERS; COASTAL DIATOM; ZINC; CD; BEHAVIOR; COPPER; ZN; CIRCULATION</t>
  </si>
  <si>
    <t>There is considerable interest in the biogeochemical cycling of cadmium (Cd) and phosphate (PO4) in surface waters, driven in part by the ongoing development of a paleonutrient proxy that utilizes Cd preserved in fossil planktonic foraminifera to determine past PO4 utilization efficiencies in ocean surface waters. The present article reports the results of a field study into the effects of Fe limitation on the Cd:P composition of natural assemblages of marine phytoplankton in the Antarctic Zone of the Pacific sector of the Southern Ocean. Iron enrichment to shipboard incubation bottles led to increases in community growth rate and final biomass. After 10.7 d of incubation, the climax community was dominated by large diatoms of the genus Fragillariopsis, Pseudonitzschia, and Nitzschia. Direct measurements of phytoplankton metal: P ratios from controlled shipboard experiments indicate that Cd: P, Co:P, and Zn:P ratios decreased from control values with increasing initial dissolved Fe concentrations in the incubation bottles, by factors of similar to2-10 at highest Fe additions. We suggest that the effect of Fe limitation on resident diatoms is to decrease growth rate, leading to elevated cellular Cd content. The dissolved Cd: P ratio in iron-limited surface waters of the Southern Ocean may, therefore, respond to the supply of Fe to the resident phytoplankton community, which has implications for the developing paleonutrient proxy. We suggest that the biological uptake of Cd and P is independent of the dissolved Cd: PO4 ratio. As a consequence, the results argue against the use of empirical Rayleigh fractionation models or models with fixed phytoplankton uptake ratios to account for regional variability in surface water dissolved Cd: PO4.</t>
  </si>
  <si>
    <t>Rutgers State Univ, Inst Marine &amp; Coastal Sci, New Brunswick, NJ 08901 USA; Monterey Bay Aquarium Res Inst, Moss Landing, CA 95039 USA; Moss Landing Marine Labs, Moss Landing, CA 95039 USA</t>
  </si>
  <si>
    <t>Rutgers University System; Rutgers University New Brunswick; Monterey Bay Aquarium Research Institute; Moss Landing Marine Laboratories</t>
  </si>
  <si>
    <t>Cullen, JT (corresponding author), Univ Victoria, Sch Earth &amp; Ocean Sci, 3800 Finnerty Rd, Victoria, BC V8W 3P6, Canada.</t>
  </si>
  <si>
    <t>Cullen, Jay T./AAE-8379-2019; Cullen, Jay/AAB-2769-2019; Chase, Zanna/E-9232-2013</t>
  </si>
  <si>
    <t>Cullen, Jay T./0000-0002-6484-2421; Chase, Zanna/0000-0001-5060-779X</t>
  </si>
  <si>
    <t>10.4319/lo.2003.48.3.1079</t>
  </si>
  <si>
    <t>WOS:000182982300013</t>
  </si>
  <si>
    <t>Kringel, K; Jumars, PA; Holliday, DV</t>
  </si>
  <si>
    <t>A shallow scattering layer: High-resolution acoustic analysis of nocturnal vertical migration from the seabed</t>
  </si>
  <si>
    <t>LOCALLY WEIGHTED REGRESSION; SMOOTHING SCATTERPLOTS; ANTARCTIC KRILL; MYSIS-RELICTA; 120 KHZ; ZOOPLANKTON; DIEL; SOUND; ORIENTATION; MODELS</t>
  </si>
  <si>
    <t>Using bottom-mounted, high-frequency, inverted echo sounders (the Tracor acoustic profiling system) to examine acoustic backscattering every 2 min in 50-cm range bins above the seabed, we recorded strong, remarkably regular, nightly migrations of organisms from less than or equal to0.5 m above the seabed to the upper pelagic layers over a period of 6 d in July-August 1995. Population migration speeds on ascent versus descent (mean +/- 1 SD) were not significantly different when estimated from the mode (or leading/trailing edge) of the population and were 0.59 +/- 0.24 cm s(-1) in ascent (0.96 +/- 0.25 cm s(-1) leading edge) and 0.67 +/- 0.13 cm s(-1) on descent (0.78 +/- 0.14 cm s(-1) trailing edge). The SD in start times of the ascent over the six nights was only 3 min, and that in the times of the completion of the descent was 7 min. Emergence began after and reentry was completed before downwelling irradiance at photosynthetically active wavelengths 1 m above bottom reached 0.5 x 10(-6) mumol quanta cm(-1) s(-1). Migrators increased column scattering strength at 265 kHz by a factor of 14. Emergence-trap samples and nighttime plankton tows suggested that the migrating population was dominated by mysids, mostly Neomysis kadiakensis. Our acoustic results suggest that emergence is much more prevalent and important in coastal and estuarine environments than trapping and net sampling can reveal and hence that this important component of benthic-pelagic coupling requires additional attention both in measurements and in theoretical treatments.</t>
  </si>
  <si>
    <t>Univ Maine, Darling Marine Ctr, Walpole, ME 04573 USA; Univ Washington, Sch Oceanog, Seattle, WA 98195 USA; BAE SYST, San Diego, CA 92123 USA</t>
  </si>
  <si>
    <t>University of Maine System; University of Maine Orono; University of Washington; University of Washington Seattle; Bae Systems</t>
  </si>
  <si>
    <t>Jumars, PA (corresponding author), Univ Maine, Darling Marine Ctr, 193 Clarks Cove Rd, Walpole, ME 04573 USA.</t>
  </si>
  <si>
    <t>10.4319/lo.2003.48.3.1223</t>
  </si>
  <si>
    <t>WOS:000182982300028</t>
  </si>
  <si>
    <t>Jackson, GD; Domeier, ML</t>
  </si>
  <si>
    <t>The effects of an extraordinary El Nino/La Nina event on the size and growth of the squid Loligo opalescens off Southern California</t>
  </si>
  <si>
    <t>GULF-OF-MEXICO; MARKET SQUID; TEMPORAL VARIATION; FINNED SQUID; AGE; CEPHALOPODA; TEMPERATURE; VULGARIS; WATERS; STATE</t>
  </si>
  <si>
    <t>The population structure of the California market squid Loligo opalescens was studied for the Channel Islands region off Southern California between June 1998 and March 2000. During this time Californian waters were exposed to an extraordinary El Nino event that was possibly the most dramatic change in oceanographic conditions that occurred last century. There was then a rapid transition to record cool La Nina conditions. Statolith increments were used to determine age parameters and increment periodicity was validated for the first 54 days of life. Based on statolith increment counts, the oldest males and females were 257 and 225 days respectively and individuals matured as young as 129 and 137 days respectively. No distinct hatching period was detected. There was a general trend of increasing body size throughout the study period. Squid that hatched and,grew through the El Nino were strikingly smaller and had slower growth rates compared to squid that grew through the La Nina. This was related to oceanography and associated productivity. There was a positive correlation between squid mantle length and upwelling index and a negative correlation between mantle length and sea temperature. The 'live-fast die-young' life history strategy of squid makes them ideal candidates for following the effects of the dramatic changes in oceanographic conditions off California. We productivity integrators over time and space and are useful organisms to tie oceanography to biology.</t>
  </si>
  <si>
    <t>Univ Tasmania, Inst Antarctic &amp; So Ocean Studies, Hobart, Tas 7001, Australia; Pfleger Inst Environm Res, Oceanside, CA 92054 USA</t>
  </si>
  <si>
    <t>Univ Tasmania, Inst Antarctic &amp; So Ocean Studies, POB 252-77, Hobart, Tas 7001, Australia.</t>
  </si>
  <si>
    <t>george.jackson@utas.edu.au</t>
  </si>
  <si>
    <t>10.1007/s00227-002-1005-4</t>
  </si>
  <si>
    <t>693NQ</t>
  </si>
  <si>
    <t>WOS:000183724000010</t>
  </si>
  <si>
    <t>Muñoz, PN; Salamanca, MA</t>
  </si>
  <si>
    <t>Input of atmospheric lead to marine sediments in a south-east Pacific coastal area (∼360°S)</t>
  </si>
  <si>
    <t>MARINE ENVIRONMENTAL RESEARCH</t>
  </si>
  <si>
    <t>lead; (210)Pb; anthropogenic emission sources; atmosphere; sediment pollution; salt marsh; coastal zone; Southern Hemisphere; South America; Chile</t>
  </si>
  <si>
    <t>WESTERN NORTH-ATLANTIC; ANTHROPOGENIC LEAD; ANTARCTIC PENINSULA; MEDITERRANEAN-SEA; TRACE-ELEMENTS; HEAVY-METALS; PB-210; FLUXES; WATER; ICE</t>
  </si>
  <si>
    <t>Atmospheric input of Pb to coastal sediments in the south-east Pacific (similar to36degreesS) was estimated using: (1) a salt marsh (non-local emission sources) as a natural collector of atmospheric fluxes and (2) Pb concentrations in rain and air samples, both considered to be representative of the atmospheric input in the study area. A radioisotopic geochronology technique ((210)Pb) was used to estimate the total Pb atmospheric supply to the sediments. The results show that atmospheric input to Concepcion Bay accounts for 13-68% of Pb in near shore sediments, evaluated through salt marsh and rain, both showing comparable results. Consequently, there are other relevant Pb sources to explain the higher concentrations in this area. Sediments in the shelf are subject to important influence of upwelling waters, estimated by Salamanca [Sources and sinks of (210)Pb in Concepcion Bay, Chile (1993) PhD thesis, Marine Science Research Center, State University of New York at Stony Brook, USA] using (210)Pb. The atmospheric input, however, is mainly responsible for the total Pb input, since the salt marsh (natural atmospheric collector) shows similar Pb(xs) inventories than the shelf, corresponding to a regional-scale Pb emissions. (C) 2002 Elsevier Science Ltd. All rights reserved.</t>
  </si>
  <si>
    <t>Univ Concepcion, Dept Oceanog, Concepcion, Chile</t>
  </si>
  <si>
    <t>Universidad de Concepcion</t>
  </si>
  <si>
    <t>Muñoz, PN (corresponding author), Univ Concepcion, Dept Oceanog, Casilla 160-C, Concepcion, Chile.</t>
  </si>
  <si>
    <t>pmunoz@udec.cl</t>
  </si>
  <si>
    <t>Muñoz, Praxedes/P-5259-2016</t>
  </si>
  <si>
    <t>Muñoz, Praxedes/0000-0002-0402-681X</t>
  </si>
  <si>
    <t>0141-1136</t>
  </si>
  <si>
    <t>MAR ENVIRON RES</t>
  </si>
  <si>
    <t>Mar. Environ. Res.</t>
  </si>
  <si>
    <t>PII S0141-1136(02)00277-5</t>
  </si>
  <si>
    <t>10.1016/S0141-1136(02)00277-5</t>
  </si>
  <si>
    <t>Environmental Sciences; Marine &amp; Freshwater Biology; Toxicology</t>
  </si>
  <si>
    <t>Environmental Sciences &amp; Ecology; Marine &amp; Freshwater Biology; Toxicology</t>
  </si>
  <si>
    <t>654TN</t>
  </si>
  <si>
    <t>WOS:000181512300004</t>
  </si>
  <si>
    <t>Bioaccumulation of trace metals in the Antarctic amphipod Orchomene plebs:: evaluation of toxicokinetic models</t>
  </si>
  <si>
    <t>Antarctic; amphipods; metal; bioaccumulation; biomonitoring; body length</t>
  </si>
  <si>
    <t>WEDDELL SEA ANTARCTICA; HEAVY-METALS; SOUTHERN-OCEAN; GREENLAND SEA; CADMIUM ACCUMULATION; MARINE-INVERTEBRATES; MYTILUS-EDULIS; COPEPOD; COLLECTIVES; CRUSTACEA</t>
  </si>
  <si>
    <t>Bioaccumulation of Cd, Co, Cu, Ni, Pb and Zn in Antarctic gammaridean amphipod collectives, Orchomene plebs (Hurley, 1965), was investigated during a cruise of RV Polarstern to the Wedell Sea. With the sole exception of Cd the organisms accumulated metals during exposure and depurated them in uncontaminated seawater. Four independent toxicokinetic experiments and one field study were modelled simultaneously to calculate the following size-dependent bioconcentration factors for organisms with body length 10 mm (BCF10 (mm)): 130 (Co), 4030 (Cu), 190 (Ni), 2900 (Pb), and 5210 (Zn). On the time scale of our experiments the data suggest an increased metal uptake by previously exposed test organisms. The collectives investigated may be regarded as potentially suitable biomonitors for Co, Cu, Ni, Pb and Zn but not for Cd. An approach to evaluate the sensitivity of Orchomene plebs as a biomonitor of waterborne metals in the field indicates minimal increments of the ambient exposure concentrations of 0.01 mug Co l(-1), 0.2 mug Cu l(-1), 0.4 mug Ni l(-1), 0.6 mug Pb l(-1) and 0.3 mug Zn l(-1). (C) 2003 Elsevier Science Ltd. All rights reserved.</t>
  </si>
  <si>
    <t>Carl Von Ossietzky Univ Oldenburg, Fachbereich Biol Geo &amp; Umweltwissensch, ICBM, D-26111 Oldenburg, Germany</t>
  </si>
  <si>
    <t>Zauke, GP (corresponding author), Carl Von Ossietzky Univ Oldenburg, Fachbereich Biol Geo &amp; Umweltwissensch, ICBM, Postfach 2503, D-26111 Oldenburg, Germany.</t>
  </si>
  <si>
    <t>gerd.p.zauke@uni-oldenburg.de</t>
  </si>
  <si>
    <t>1879-0291</t>
  </si>
  <si>
    <t>PII S0141-1136(02)00288-X</t>
  </si>
  <si>
    <t>10.1016/S0141-1136(02)00288-X</t>
  </si>
  <si>
    <t>658VC</t>
  </si>
  <si>
    <t>WOS:000181740300001</t>
  </si>
  <si>
    <t>Romero, O; Hebbeln, D</t>
  </si>
  <si>
    <t>Biogenic silica and diatom thanatocoenosis in surface sediments below the Peru-Chile Current: controlling mechanisms and relationship with productivity of surface waters</t>
  </si>
  <si>
    <t>biogenic opal; diatoms; southeastern Pacific; surface sediments; coastal upwelling; Peru-Chile Current</t>
  </si>
  <si>
    <t>SPATIAL VARIABILITY; EL-NINO; OCEAN; PHYTOPLANKTON; PATTERNS; BARIUM; SYSTEM; RECORD; INPUT; TRAPS</t>
  </si>
  <si>
    <t>Based on 76 surface sediment samples collected between ca. 22degrees and 44degreesS along the Chilean coast in the southeast Pacific Ocean, we report on the north-south distribution of opal content and diatom concentration, and the quantitative and qualitative composition of the preserved diatom community. Latitudinal differences in the siliceous signal reflect the influence of two main mechanisms of surface water production: coastal upwelling off northern and central Chile till ca. 38degreesS, and nutrient enrichment by the input of cold, southern, non-upwelling-associated waters south of ca. 38degreesS. The poleward increase in biogenic opal and diatom values parallels well the north-south increase of pigment concentration in surface waters as recorded by satellites. Between 22degrees and 33degreesS, where low pigment concentrations are measured, opal content and diatom concentration are mostly low (except at 22degrees-23degreesS). In contrast, both higher opal and diatom values at 34degrees-38degreesS and 41degrees-42degreesS correspond well with higher pigment estimations. Preserved diatom populations document the present-day dominant hydrographical conditions. Nutrient enrichment of surface waters due to coastal upwelling results in intensive production of diatoms off northern and central Chile, reflected by the predominance of the richly-composed association of Chaetoceros spores north of ca. 38degreesS. The diatom association shows that the area between 35degrees and 38degreesS is transitional. The abrupt decrease of Chaetoceros spores south of similar to 38degreesS off Chile coupled with the enhanced contribution of Thalassiosira spp., representatives of high-productivity, low-temperature waters, points to the presumed high nutrient supply by the iron-limited, nutrient-rich Antarctic Circumpolar Water. The contribution of benthic diatoms reflects some lateral transport from the near-shore area into deeper positions south of 38degreesS. (C) 2002 Elsevier Science B.V. All rights reserved.</t>
  </si>
  <si>
    <t>Univ Bremen, Dept Geosci, D-28334 Bremen, Germany</t>
  </si>
  <si>
    <t>Univ Bremen, Dept Geosci, POB 330440, D-28334 Bremen, Germany.</t>
  </si>
  <si>
    <t>oromero@uni-bremen.de</t>
  </si>
  <si>
    <t>Hebbeln, Dierk/P-9766-2016</t>
  </si>
  <si>
    <t>Hebbeln, Dierk/0000-0001-5099-6115</t>
  </si>
  <si>
    <t>1872-6186</t>
  </si>
  <si>
    <t>PII S0377-8398(02)00161-5</t>
  </si>
  <si>
    <t>10.1016/S0377-8398(02)00161-5</t>
  </si>
  <si>
    <t>680GC</t>
  </si>
  <si>
    <t>WOS:000182967100004</t>
  </si>
  <si>
    <t>Noll, K; Döbeli, M; Krähenbühl, U; Grambole, D; Herrmann, F; Koeberl, C</t>
  </si>
  <si>
    <t>Detection of terrestrial fluorine by proton induced gamma emission (PIGE):: A rapid quantification for Antarctic meteorites</t>
  </si>
  <si>
    <t>ION-BEAM ANALYSIS; WEATHERING PRODUCTS; MOUNT EREBUS; ICE; ATMOSPHERE; CHONDRITES; GASES; ENRICHMENT; HALOGENS; ERUPTION</t>
  </si>
  <si>
    <t>The enrichment of fluorine on the surface of Antarctic meteorites is investigated by applying the nuclear reactions F-19(p, alphagamma)O-16 or F-19(p, p'gamma)F-19 with the proton induced gamma emission (PIGE) technique, a class of nuclear reaction analysis (NRA). Results for the Antarctic meteorites ALHA77294, TIL 82409, LEW 86015, ALHA77003, and ALH 83108 are presented. Possible sources of terrestrial F are: volcanic exhalation, tephra layers (volcanic glass), continental soil dust, or sea spray. Material from blue-ice dust-band samples also shows concentrations of F that are significantly higher than the bulk concentrations of meteorites. Finally, a quick investigation for Antarctic meteorites by external PIGE is proposed, leading to a F-contamination index that supplements the qualitative ABC-weathering index.</t>
  </si>
  <si>
    <t>Univ Bern, Dept Chem &amp; Biochem, CH-3012 Bern, Switzerland; ETH Honggerberg, Paul Scherrer Inst, CH-8093 Zurich, Switzerland; Forschungszentrum Rossendorf, Inst Ionenstrahlphys &amp; Mat Forsch, D-01314 Dresden, Germany; Univ Vienna, Inst Geochem, A-1090 Vienna, Austria</t>
  </si>
  <si>
    <t>University of Bern; Swiss Federal Institutes of Technology Domain; ETH Zurich; Paul Scherrer Institute; Helmholtz Association; Helmholtz-Zentrum Dresden-Rossendorf (HZDR); University of Vienna</t>
  </si>
  <si>
    <t>Krähenbühl, U (corresponding author), Univ Bern, Dept Chem &amp; Biochem, Freiestr 3, CH-3012 Bern, Switzerland.</t>
  </si>
  <si>
    <t>Koeberl, Christian/0000-0001-5155-7405</t>
  </si>
  <si>
    <t>10.1111/j.1945-5100.2003.tb00040.x</t>
  </si>
  <si>
    <t>721WW</t>
  </si>
  <si>
    <t>WOS:000185342300007</t>
  </si>
  <si>
    <t>Piertney, SB; Hudelot, C; Hochberg, FG; Collins, MA</t>
  </si>
  <si>
    <t>Phylogenetic relationships among cirrate octopods (Mollusca: Cephalopoda) resolved using mitochondrial 16S ribosomal DNA sequences</t>
  </si>
  <si>
    <t>MODEL</t>
  </si>
  <si>
    <t>Phylogenetic relationships among the cirrate octopods (Mollusca: Cephalopoda) were investigated using partial sequences of the 16S rRNA mitochondrial gene. The derived phylogeny supports the traditional separation of cirrate families based on web form. Genera with a single web (Opisthoteuthis, Grimpoteuthis, Luteuthis, and Cirroctopus) are clearly distinct from those with an intermediate or secondary web (Cirroteuthis, Cirrothauma, and Stauroteuthis). The cirrates with a single web are separated into three groups. The first group is represented by Opisthoteuthis species, the second by Grimpoteuthis and Luteuthis, and the third by members of the genus Cirroctopus. There is no support for the isolation of Luteuthis in a separate family (Luteuthidae). There is, however, evidence of two groupings within the genus Opisthoteuthis. The data suggest the following revisions in the systematic classification of the cirrates: (1) Cirrothauma, Cirroteuthis, and Stauroteuthis be united in the Cirroteuthidae; (2) Grimpoteuthis and Luteuthis be placed in the Grimpoteuthidae; (3) Opisthoteuthis in the Opisthoteuthidae, and; (4) Cirroctopus be considered sufficiently distinct from both Opisthoteuthidae and Grimpoteuthidae to warrant placement in a new family. (C) 2002 Elsevier Science (USA). All rights reserved.</t>
  </si>
  <si>
    <t>Univ Aberdeen, Sch Biol Sci, NERC Mol Genet Ecol Initiat, Aberdeen AB24 2TZ, Scotland; CNRS, ESA 8044, Lab Biol Invertebres Marins &amp; Malacol, Museum Natl Hist Nat, F-75005 Paris, France; Santa Barbara Museum Nat Hist, Dept Invertebrate Zool, Santa Barbara, CA 93105 USA; British Antarctic Survey, NERC, Cambridge CB3 0ET, England</t>
  </si>
  <si>
    <t>University of Aberdeen; UK Research &amp; Innovation (UKRI); Natural Environment Research Council (NERC); Centre National de la Recherche Scientifique (CNRS); Museum National d'Histoire Naturelle (MNHN); UK Research &amp; Innovation (UKRI); Natural Environment Research Council (NERC); NERC British Antarctic Survey</t>
  </si>
  <si>
    <t>Univ Aberdeen, Sch Biol Sci, NERC Mol Genet Ecol Initiat, Zool Bldg,Tillydrone, Aberdeen AB24 2TZ, Scotland.</t>
  </si>
  <si>
    <t>s.piertney@abdn.ac.uk</t>
  </si>
  <si>
    <t>Piertney, Stuart B/I-3144-2012; , Martin/ABE-6728-2020; Collins, Martin A/J-8560-2017</t>
  </si>
  <si>
    <t>, Martin/0000-0001-7132-8650; Piertney, Stuart/0000-0001-6654-0569</t>
  </si>
  <si>
    <t>1095-9513</t>
  </si>
  <si>
    <t>10.1016/S1055-7903(02)00420-7</t>
  </si>
  <si>
    <t>672UK</t>
  </si>
  <si>
    <t>WOS:000182541100015</t>
  </si>
  <si>
    <t>Jumpponen, A; Newsham, KK; Neises, DJ</t>
  </si>
  <si>
    <t>Filamentous ascomycetes inhabiting the rhizoid environment of the liverwort Cephaloziella varians in Antarctica are assessed by direct PCR and cloning</t>
  </si>
  <si>
    <t>MYCOLOGIA</t>
  </si>
  <si>
    <t>ascomycete; Cephaloziella varians; fungal community structure; fungi; liverwort; rhizoids; rhizosphere</t>
  </si>
  <si>
    <t>RIBOSOMAL DATABASE PROJECT; DARK SEPTATE ENDOPHYTES; MICROBIAL DIVERSITY; PATHOGENIC FUNGI; PICEA-GLEHNII; RHIZOSPHERE; SOIL; MYCORRHIZAS; COMMUNITIES; HEPATICS</t>
  </si>
  <si>
    <t>We molecularly assesed the ascomycetous fungal communities inhabiting the rhizoid environment of Cephaloziella varians, collected at Rothera Point on the western Antarctic Peninsula. The RFLP-phenotyped and cloned PCR products of a partial small subunit of the ribosomal RNA gene were sequenced and analyzed with neighbor joining (NJ) and maximum parsimony (MP). Both analyses identified four bootstrap-supported groups: (i) a sister group to Onygenales, (ii) a well-supported clade with Phialocephala fortinii, (iii) a large group of clones nested within Chaetothyriales, and (iv) a group nested within Eurotiales with a likely affinity to the genus Aspergillus. An additional marginally supported clade, including helotialean Hymenostyphus fructigenus, was detected in the NJ analysis. Placement of one clone (possibly helotialean) was not supported by either analysis. We included Hymenoscyphus ericae (Helotiales) in our analyses to test for its presence in clone libraries. None of our clones showed strongly supported affinity to H. ericae. The culture-independent technique proved useful for assessing the composition of rhizoid fungal communities, although it remains unknown whether any of these fungi colonize C varians tissues. Direct-community assays of this kind might be best combined with traditional isolation techniques to get a more holistic view of fungi occupying plant tissues.</t>
  </si>
  <si>
    <t>Kansas State Univ, Div Biol, Manhattan, KS 66506 USA; British Antarctic Survey, Biosci Div, Cambridge CB3 0ET, England; Kansas State Univ, Div Biol, Manhattan, KS 66506 USA</t>
  </si>
  <si>
    <t>Kansas State University; UK Research &amp; Innovation (UKRI); Natural Environment Research Council (NERC); NERC British Antarctic Survey; Kansas State University</t>
  </si>
  <si>
    <t>Jumpponen, A (corresponding author), Kansas State Univ, Div Biol, Manhattan, KS 66506 USA.</t>
  </si>
  <si>
    <t>Newsham, Kevin K/C-4192-2011</t>
  </si>
  <si>
    <t>NEW YORK BOTANICAL GARDEN</t>
  </si>
  <si>
    <t>BRONX</t>
  </si>
  <si>
    <t>PUBLICATIONS DEPT, BRONX, NY 10458 USA</t>
  </si>
  <si>
    <t>0027-5514</t>
  </si>
  <si>
    <t>Mycologia</t>
  </si>
  <si>
    <t>10.2307/3761887</t>
  </si>
  <si>
    <t>Mycology</t>
  </si>
  <si>
    <t>705KG</t>
  </si>
  <si>
    <t>WOS:000184393800009</t>
  </si>
  <si>
    <t>Stucchi, E</t>
  </si>
  <si>
    <t>Stucchi, E.</t>
  </si>
  <si>
    <t>MCS data processing for the interpretation of ancient ice sheet movements</t>
  </si>
  <si>
    <t>NEAR SURFACE GEOPHYSICS</t>
  </si>
  <si>
    <t>The paper deals with the analysis and reprocessing of data from a 30-km section of the IT88A-01 seismic line acquired in the Ross Sea Basin during the Italian 1988 PNRA project (National Program for Antarctic Research). The purpose of this study was to achieve an improved data quality for a better geophysical and geological interpretation of the area. Field data were subjected to a processing sequence aimed at enhancing the S/N ratio and at recovering reliable acoustic impedances. Acoustic impedance recovery calls for the estimation of both the velocity field and the pseudo-acoustic impedance in the wavelet frequency band. At the end of the study, a time-migrated stack section and a time impedance map were produced. The migrated section shows, quite clearly, all event previously hidden by a strong sea-bottom multiple; furthermore reflections that can be related to proximal debris left by ice expansion and regression are now visible. The impedance map shows impedance inversion along the whole length of the processed section, possibly denoting different sedimentary conditions due to ice-sheet loading and unloading in the Ross Sea. The processing sequence described and the recovery of the absolute acoustic impedance as outlined here could be adopted to determine, by means of seismic reflection, the position and movement of the ice sheet in the remote past.</t>
  </si>
  <si>
    <t>Univ Milan, Dip Sci Terra Geofis, I-20129 Milan, Italy</t>
  </si>
  <si>
    <t>Stucchi, E (corresponding author), Univ Milan, Dip Sci Terra Geofis, Via Cicognara 7, I-20129 Milan, Italy.</t>
  </si>
  <si>
    <t>eusebio@ibm.geofisica.unimi.it</t>
  </si>
  <si>
    <t>STUCCHI, EUSEBIO MARIA/R-1153-2017</t>
  </si>
  <si>
    <t>STUCCHI, EUSEBIO MARIA/0000-0002-7555-7140</t>
  </si>
  <si>
    <t>EUROPEAN ASSOC GEOSCIENTISTS &amp; ENGINEERS</t>
  </si>
  <si>
    <t>3990 DB, HOUTEN</t>
  </si>
  <si>
    <t>PO BOX 59, 3990 DB, HOUTEN, 00000, NETHERLANDS</t>
  </si>
  <si>
    <t>1569-4445</t>
  </si>
  <si>
    <t>1873-0604</t>
  </si>
  <si>
    <t>NEAR SURF GEOPHYS</t>
  </si>
  <si>
    <t>Near Surf. Geophys.</t>
  </si>
  <si>
    <t>10.3997/1873-0604.2002010</t>
  </si>
  <si>
    <t>V04GZ</t>
  </si>
  <si>
    <t>WOS:000207048200004</t>
  </si>
  <si>
    <t>Golivets, SV; Koshlyakov, MN</t>
  </si>
  <si>
    <t>Cyclonic eddies at the subantarctic front and formation of the antarctic intermediate water</t>
  </si>
  <si>
    <t>GULF-STREAM RING; DRAKE PASSAGE</t>
  </si>
  <si>
    <t>A concept is developed, according to which the formation of the Antarctic Intermediate Water (AAIW) occurs due to the frictional decay of Cyclonic synoptic eddies generated as a result of the separation of cyclonic meanders at the Subantarctic Front (SAAF). A numerical model of this decay is formulated, and calculations are carried out. An estimate of salt losses by the AAIW layer in the Pacific Ocean as a result of the formation of one pair of cyclonic and anticyclonic SAAF eddies is equal to 1.65 X 10(12) kg. Assuming that the secondary contacts of the eddies with the SAAF are absent and specifying the coefficient of diapycnal mixing at intermediate depths equal to 0. 1 cm(2)/s we obtain that ten pairs of eddies of different signs, which are formed within a year in the Pacific sector of the SAAF, are enough to keep the layer of the AAIW in the Pacific Ocean in a stable state.</t>
  </si>
  <si>
    <t>Russian Acad Sci, PP Shirshov Oceanol Inst, Moscow, Russia</t>
  </si>
  <si>
    <t>Golivets, SV (corresponding author), Russian Acad Sci, PP Shirshov Oceanol Inst, Moscow, Russia.</t>
  </si>
  <si>
    <t>697DX</t>
  </si>
  <si>
    <t>WOS:000183927900001</t>
  </si>
  <si>
    <t>Poloukhin, NV; Talipova, TG; Pelinovsky, EN; Lavrenov, IV</t>
  </si>
  <si>
    <t>Kinematic characteristics of the high-frequency internal wave field in the Arctic Ocean</t>
  </si>
  <si>
    <t>BRUNT-VAISALA FREQUENCY; TIDE TRANSFORMATION; ROSSBY RADII; MODEL</t>
  </si>
  <si>
    <t>Estimates of internal wave field kinematic parameters under the conditions of the Arctic Basin are presented. Hydrographic data with a one-degree resolution from the NOAA World Ocean Atlas and Arctic and Antarctic Research Institute (AARI) Atlas over a 50 X 50 kin grid are used as the initial materials. The geographical and seasonal variability of the phase velocity of long internal waves, their dispersion, and quadratic and cubic nonlinearity parameters were studied. The results are presented in the form of charts of the distribution of model parameters and also in the form of a table of characteristic values for each of the seas in the Arctic Basin. A comparison of the kinematic atlases of internal waves based on different hydrographic data is presented.</t>
  </si>
  <si>
    <t>Russian Acad Sci, Inst Appl Phys, Lab Hydrophys &amp; Nonlinear Acoust, Nizhnii Novgorod 603600, Russia; Nizhnii Novgorod State Univ, Dept Appl Math, Nizhnii Novgorod, Russia; Arctic &amp; Antarctic Res Inst, St Petersburg 199226, Russia</t>
  </si>
  <si>
    <t>Russian Academy of Sciences; Institute of Applied Physics of the Russian Academy of Sciences; Lobachevsky State University of Nizhni Novgorod; Arctic &amp; Antarctic Research Institute</t>
  </si>
  <si>
    <t>Russian Acad Sci, Inst Appl Phys, Lab Hydrophys &amp; Nonlinear Acoust, Nizhnii Novgorod 603600, Russia.</t>
  </si>
  <si>
    <t>Pelinovsky, Efim/I-3670-2013; Talipova, Tatiana/A-1580-2014</t>
  </si>
  <si>
    <t>Pelinovsky, Efim/0000-0002-5092-0302</t>
  </si>
  <si>
    <t>WOS:000183927900004</t>
  </si>
  <si>
    <t>Newsham, KK</t>
  </si>
  <si>
    <t>UV-B radiation arising from stratospheric ozone depletion influences the pigmentation of the Antarctic moss Andreaea regularis</t>
  </si>
  <si>
    <t>OECOLOGIA</t>
  </si>
  <si>
    <t>bryophyte; carotenoids; flavonoids; UV-B screening pigments</t>
  </si>
  <si>
    <t>PHOTOSYNTHESIS; FLAVONOIDS; FIELD; GENE</t>
  </si>
  <si>
    <t>Changes to the radiative environment arising from stratospheric ozone (O-3) depletion and subsequent associations between these changes and the pigmentation of the moss Andreaea regidaris were measured in late austral spring and early summer 1998 at Rothera Point on the western Antarctic Peninsula (67degreesS, 68degreesW). A strong relationship between O-3 column depth and the ratio of UV-B to PAR irradiance (Fuv-b/F-par) was recorded at ground level (r(2)=92%. P&lt;0.001). Weaker, but significant, associations between O-3 column depth and ground level unweighted and biologically effective UV-B radiation (UV-B-be) were also found. Regression analyses indicated that Fuv-b/F-par was the best predictor for concentrations of UV-B screening pigments and total carotenoids, extracted from plant tissues. Concentrations of these pigments were loosely (r(2)= ca. 30%) but significantly (P&lt;0.01) positively associated with F-uv/b/F-par. Concentrations of UV-B screening pigments were also positively associated with irradiances and daily doses of unweighted UV-B and UV-B-be, radiation. The concentrations of chlorophylls a and b were apparently unaffected by O-3 depletion. The data derived from this study suggest that changes to the radiative environment associated with stratospheric O-3 depletion influence the pigmentation of A. regularis. As a corollary, flavonoids are shown to be present in tissues of A. regularis.</t>
  </si>
  <si>
    <t>Newsham, KK (corresponding author), British Antarctic Survey, Nat Environm Res Council, High Cross,Madingley Rd, Cambridge CB3 0ET, England.</t>
  </si>
  <si>
    <t>0029-8549</t>
  </si>
  <si>
    <t>Oecologia</t>
  </si>
  <si>
    <t>10.1007/s00442-003-1191-x</t>
  </si>
  <si>
    <t>684GX</t>
  </si>
  <si>
    <t>WOS:000183198000001</t>
  </si>
  <si>
    <t>Gallagher, SJ; Greenwood, DR; Taylor, D; Smith, AJ; Wallace, MW; Holdgate, GR</t>
  </si>
  <si>
    <t>The Pliocene climatic and environmental evolution of southeastern Australia: evidence from the marine and terrestrial realm</t>
  </si>
  <si>
    <t>Australia; foraminifera; palaeobotany; Gippsland Basin; subtropical front</t>
  </si>
  <si>
    <t>GIPPSLAND BASIN; PALEOENVIRONMENTAL EVOLUTION; FORAMINIFERAL BIOFACIES; BENTHIC FORAMINIFERA; SUBMARINE CANYONS; OTWAY BASIN; TASMAN SEA; PALEOCEANOGRAPHY; SUCCESSION; HOLOCENE</t>
  </si>
  <si>
    <t>During the Pliocene the global climate fluctuated markedly with the expansion and contraction of the Northern and Southern Hemisphere ice sheets. The signals of this change are well preserved in the thick (up to I km) Seaspray Group cool-water carbonate sediments in the Gippsland region and associated thin terrestrial deposits in southeastern Australia. This study uses seismic, facies, foraminiferal proxy data and palaeobotanical data to chart the Pliocene climate and environmental change in the marine and terrestrial realms of southeastern Australia. Complex submarine canyoning occurred at the shelf/upper bathyal transition during the Pliocene in Gippsland. Low-energy pelagic marl (wackestone/packstone) characterise canyon and inter-canyon environments in the earliest Pliocene, depositing plankton oozes with interbedded calciturbidites. From upper Early Pliocene to Late Pliocene time high-energy limestone (grainstone) facies infilled these submarine canyons associated with progradation of the succession from outer to middle shelf palaeoenvironments. Plankton proxy data suggest cool conditions in the basal part of Early Pliocene. Relatively stable warmer marine conditions prevailed throughout most of the Early Pliocene, corresponding to a period of globally low delta(18)O values in the oceans associated with minor Antarctic ice sheet expansion. From middle to Late Pliocene time marked fluctuations in the abundance of cool and warmer water plankton taxa occurred, corresponding to a time of global marine delta(18)O fluctuations and generally heavier delta(18)O values associated with the expansion of the Antarctic ice and Northern Hemisphere ice sheets. Upwelling is interpreted to have occurred throughout much of the warmer Early Pliocene, caused by a more northerly (compared to today) positioned and weaker Subtropical Front. Upwelling was prevalent in the outer shelf to upper slope facies at the 'palaeo' Bass Canyon and the Subtropical Front migrated northwards to Gippsland during Late Pliocene glacial periods. Terrestrial palaeobotanical records indicate a shift from widespread Araucarian forests and rainforest, including 'tropical' taxa now extinct in the region, to a landscape by the end of the Late Pliocene similar to that of the present day with a mosaic of Eucalyptus-Acacia-Casuarinaceae sclerophyllous forests and open vegetation, with local areas of Nothofagus-dominated cool temperate rainforests. Palaeobotanical proxy data indicate that regional climate oscillated between warm-wet and cool-dry phases, with an overall cooling-drying trend through the Pliocene. Earliest Pliocene climates in southeast Australia were warm-wet with a summer rainfall peak (mean annual temperature, MAT, 2-4degreesC igher than present, mean annual precipitation, MAP, 50-70% higher than present), whereas terminal Late Pliocene climates were drier-cooler with a winter rainfall peak (MAT 0-2degreesC higher than present, MAP 0-30% higher than present). (C) 2003 Elsevier Science B.V. All rights reserved.</t>
  </si>
  <si>
    <t>Univ Melbourne, Sch Earth Sci, Melbourne, Vic 3010, Australia; Sch Life Sci &amp; Technol, Melbourne, Vic 8001, Australia</t>
  </si>
  <si>
    <t>sjgall@unimelb.edu.au</t>
  </si>
  <si>
    <t>Gallagher, Stephen/AFL-9448-2022; Greenwood, David R./C-2758-2008</t>
  </si>
  <si>
    <t>Gallagher, Stephen/0000-0002-5593-2740; Greenwood, David R./0000-0002-8569-9695; Wallace, Malcolm/0000-0003-3188-6409</t>
  </si>
  <si>
    <t>10.1016/S0031-0182(03)00231-1</t>
  </si>
  <si>
    <t>670NK</t>
  </si>
  <si>
    <t>WOS:000182414700001</t>
  </si>
  <si>
    <t>Gerdes, D; Hilbig, B; Montiel, A</t>
  </si>
  <si>
    <t>Impact of iceberg scouring on macrobenthic communities in the high-Antarctic Weddell Sea</t>
  </si>
  <si>
    <t>BENTHIC COMMUNITIES; CONTINENTAL-SHELF; DISTURBANCE; MEIOFAUNA; ICE</t>
  </si>
  <si>
    <t>UW-video guided multibox corer sampling in and outside iceberg scours provided quantitative macrozoobenthos samples for analyses of effects of grounding icebergs on infaunal benthic communities. These studies were performed on the southeastern Weddell Sea shelf off Kapp Norvegia and Austasen. Based on the UW-video sequences, stations were grouped a priori into two different disturbance categories and into undisturbed areas. Average biomass of major taxa in the cores of undisturbed areas was significantly higher (14,716.5 g wet weight m(-2)) than in old (405.3 g W. wt. m(-2)) or in young scour marks (9.2 g w. wt. m(-2)). The habitat taxon richness, too, was highest in undisturbed areas (on average, 11.8 taxonomic units occurred per core), decreased in old scour marks (9.0) and was lowest in young scours (6.8). In undisturbed areas, a higher developed community structure was reflected by a greater variety of taxonomic groups, some of which were principally absent in scours. In young scours, the number of taxa was significantly reduced. Motile forms such as echinoderms and crustaceans, mainly amphipods, and juvenile polychaetes, in particular pioneering species of the family Spionidae, started the recolonization of the devastated areas. Burrowing organisms occurred in older scours where the initially overcompacted sediment had softened. In the course of the re-establishment of macrofaunal communities (after some years/decades), the faunal composition is expected to change towards a normal dominance of suspension-feeding organisms, mainly sponges and bryozoans, being typical for wide areas on the southeastern Weddell Sea shelf. A more detailed taxonomical approach, using 167 polychaete species as representatives of the macrozoobenthos, also revealed significant differences between undisturbed and affected areas. The mean abundances 2 (784, 389, and 242 ind. m(-2), respectively), as well as habitat species richness (11.6, 5.5, and 3.1, respectively), decreased from undisturbed areas to old to young iceberg scours. Similarly, a large variety of motile and sessile forms was encountered among the polychaetes at undisturbed sites, whereas in scours, the polychaete fauna was impoverished in terms of species richness, abundance and variety of feeding types and lifestyles.</t>
  </si>
  <si>
    <t>Alfred Wegener Inst Polar &amp; Marine Res, D-27576 Bremerhaven, Germany; Univ Hamburg, Inst Zool, D-20146 Hamburg, Germany; Univ Hamburg, Zool Museum, D-20146 Hamburg, Germany</t>
  </si>
  <si>
    <t>Helmholtz Association; Alfred Wegener Institute, Helmholtz Centre for Polar &amp; Marine Research; University of Hamburg; University of Hamburg</t>
  </si>
  <si>
    <t>Alfred Wegener Inst Polar &amp; Marine Res, POB 120161, D-27576 Bremerhaven, Germany.</t>
  </si>
  <si>
    <t>dgerdes@awi-bremerhaven.de</t>
  </si>
  <si>
    <t>Montiel, Americo/0000-0002-2644-4879</t>
  </si>
  <si>
    <t>10.1007/s00300-003-0484-1</t>
  </si>
  <si>
    <t>682ZJ</t>
  </si>
  <si>
    <t>WOS:000183122000002</t>
  </si>
  <si>
    <t>Povero, P; Misic, C; Ossola, C; Castellano, M; Fabiano, M</t>
  </si>
  <si>
    <t>The trophic role and ecological implications of oval faecal pellets in Terra Nova Bay (Ross Sea)</t>
  </si>
  <si>
    <t>PARTICULATE ORGANIC-MATTER; MARINE PLANKTONIC COPEPOD; FECAL PELLETS; VERTICAL FLUX; WEDDELL-SEA; PARTICLE-FLUX; ANTARCTICA; DEGRADATION; BACTERIA; ZOOPLANKTON</t>
  </si>
  <si>
    <t>We studied the role of oval faecal pellets in the carbon-cycle dynamics of the Antarctic coastal area in a laboratory experiment on pellet degradation over time. We observed a rapid increase in the bacterial biomass until 56 h (from 14.73 to 91.09 mugC/l), but a drop to 25.83 mugC/l at the end of the experiment. Dissolved proteins decreased rapidly (from 1,342.7 to 1,177.0 mug/l in the first 32 h) as did nitrate (from I to 0.43 muM in the first 56 h), confirming their consumption by microorganisms, but they were observed to increase in the second part of the experiment, up to 1,618.3 mug/l and 17.36 mum for the dissolved proteins and nitrate, respectively. The proteolytic activity increased throughout the incubation from 302.65 nmol/l per hour to 6,641.08 nmol/l per hour, especially in the second half of the experiment. Therefore, we concluded that the microbial community is able to produce, consume and reminerallse the available organic substrates and to increase organic-pool quality and inorganic nutrient concentrations dissolved in the overlying water.</t>
  </si>
  <si>
    <t>Univ Genoa, Dipartimento Studio Terr &amp; Risorse, I-16132 Genoa, Italy; Univ Genoa, Museo Nazl Antaride, Genoa, Italy</t>
  </si>
  <si>
    <t>University of Genoa; University of Genoa</t>
  </si>
  <si>
    <t>Povero, P (corresponding author), Univ Genoa, Dipartimento Studio Terr &amp; Risorse, Corso Europa 26, I-16132 Genoa, Italy.</t>
  </si>
  <si>
    <t>Castellano, Michela/0000-0001-6101-0112; MISIC, CRISTINA/0000-0002-2577-1800</t>
  </si>
  <si>
    <t>10.1007/s00300-003-0485-0</t>
  </si>
  <si>
    <t>WOS:000183122000003</t>
  </si>
  <si>
    <t>Micaletto, G; Gambi, MC; Piraino, S</t>
  </si>
  <si>
    <t>Observations on population structure and reproductive features of Laetmonice producta Grube (Polychaeta, Aphroditidae) in Antarctic waters</t>
  </si>
  <si>
    <t>BENTHIC INVERTEBRATES; WEDDELL SEA; SABELLIDAE; DYNAMICS; BIOLOGY</t>
  </si>
  <si>
    <t>The large scale-worm Laetmonice producta Grube 1877 is the most abundant aphroditid polychaete in Antarctic coastal waters. We investigated the demographic structure and some reproductive features of different L. producta populations from high-Antarctic (Weddell Sea) and Antarctic Peninsula (King George Island) shelf bottoms, collected in summer 1996 (ANT-XIII/3, EASIZ I cruise) and autumn 2000 (ANT-XVII/3, EASIZ III cruise). L. producta in the studied geographic areas showed a wide bathymetric range (200-850 in depth), and a different size distribution pattern with depth, characterised by a reduction of large specimens in the deepest stations. The species is gonochoric, with females more abundant in specimens of larger sizes. Eggs at different stages of maturation (ranging from 40 to 320 mum in diameter) were examined in 270 individuals from different stations and size classes. Egg size showed a slightly bimodal trend, with largely overlapping egg cohorts, suggesting a continuous reproduction, and a long-lasting gametogenesis. Significant differences (Kolmogorov-Smirnov test, P&lt;0.05) in egg-size frequency distribution were detected only when data of the two geographic areas were compared (Weddell Sea vs King George Island), and not according to stations within each area, and females' size. The two sets of geographic samples were collected in different seasons and therefore it was not possible to assess if differences observed are due to sampling time or to geographic factors. Mature spermatozoa were recognisable only in autumn male specimens from King George Island, and showed a rounded nucleus and a short conical acrosome. Occurrence of an endosymbiont polychaete, Veneriserva pygoclava meridionalis (new sub-species of Dorvilleidae), was recorded in the coelomic cavity of 163 specimens of L. producta, 125 of which were from the deepest station of the Weddell Sea (stn. 14, 850 in depth). L. producta females with and without the endosymbiont did not show differences in egg-size distribution. The reproductive features of L. producta, together with its large size and slow growth, seem typical of a long-living predator species, and uncoupled from the typical summer environmental conditions and the pulsating system of coastal Antarctic waters.</t>
  </si>
  <si>
    <t>Lab Ecol Benthos, Staz Zool Anton Dohrn, I-80077 Naples, Italy; Univ Lecce, Dipartimento Sci &amp; Tecnol Biol &amp; Ambiente, I-73100 Lecce, Italy</t>
  </si>
  <si>
    <t>Stazione Zoologica Anton Dohrn di Napoli; University of Salento</t>
  </si>
  <si>
    <t>Gambi, MC (corresponding author), Lab Ecol Benthos, Staz Zool Anton Dohrn, Pta S Pietro, I-80077 Naples, Italy.</t>
  </si>
  <si>
    <t>gambimc@szn.it</t>
  </si>
  <si>
    <t>Gambi, Maria Cristina/AFO-0958-2022; Gambi, Maria Cristina/L-8246-2014; Piraino, Stefano/J-5234-2012</t>
  </si>
  <si>
    <t>Gambi, Maria Cristina/0000-0002-0168-776X; Piraino, Stefano/0000-0002-8752-9390</t>
  </si>
  <si>
    <t>10.1007/s00300-003-0482-3</t>
  </si>
  <si>
    <t>WOS:000183122000006</t>
  </si>
  <si>
    <t>Jabaloy, A; Balanyá, JC; Barnolas, A; Galindo-Zaldívar, J; Hernández-Molina, FJ; Maldonado, A; Martínez-Martínez, JM; Rodríguez-Fernández, J; de Galdeano, CS; Somoza, L; Suriñach, E; Vázquez, JT</t>
  </si>
  <si>
    <t>The transition from an active to a passive margin (SW end of the South Shetland Trench, Antarctic Peninsula)</t>
  </si>
  <si>
    <t>subduction zone; active margin; trench termination; tip-line; Antarctic Peninsula</t>
  </si>
  <si>
    <t>PACIFIC MARGIN; RIDGE; SUBDUCTION; GRAVITY; PLATE; ZONE; SEA</t>
  </si>
  <si>
    <t>The lateral ending of the South Shetland Trench is analysed on the basis of swath bathymetry and multichannel seismic profiles in order to establish the tectonic and stratigraphic features of the transition from an northeastward active to a southwestward passive margin style. This trench is associated with a lithospheric-scale thrust accommodating the internal deformation in the Antarctic Plate and its lateral end represents the tip-line of this thrust. The evolutionary model deduced from the structures and the stratigraphic record includes a first stage with a compressional deformation, predating the end of the subduction in the southwestern part of the study area that produced reverse faults in the oceanic crust during the Tortonian. The second stage occurred during the Messinian and includes distributed compressional deformation around the tip-line of the basal detachment, originating a high at the base of the slope and the collapse of the now inactive accretionary prism of the passive margin. The initial subduction of the high at the base of the slope induced the deformation of the accretionary prism and the formation of another high in the shelf-the Shelf Transition High. The third stage, from the Early Pliocene to the present-day, includes the active compressional deformation of the shelf and the base-of-slope around the tip-line of the basal detachment, while extensional deformations are active in the outer swell of the trench. (C) 2003 Elsevier Science B.V. All rights reserved.</t>
  </si>
  <si>
    <t>Univ Granada, Dept Geodinam, Granada 18071, Spain; Univ Pablo Olavide, Dept Ciencias Expt, Seville, Spain; Univ Granada, CSIC, Inst Andaluz Ciencias Tierra, Granada, Spain; Inst Geol &amp; Minero Espana, Madrid, Spain; Univ Vigo, Dept Geociencias Marinas &amp; OD Territorio, Pontevedra, Spain; Univ Barcelona, Dept Geodinam &amp; Geofis, Barcelona, Spain; Univ Cadiz, Fac Ciencias Mar, Cadiz, Spain</t>
  </si>
  <si>
    <t>University of Granada; Universidad Pablo de Olavide; University of Granada; Consejo Superior de Investigaciones Cientificas (CSIC); CSIC - Instituto Andaluz de Ciencias de la Tierra (IACT); Universidade de Vigo; University of Barcelona; Universidad de Cadiz</t>
  </si>
  <si>
    <t>Univ Granada, Dept Geodinam, Granada 18071, Spain.</t>
  </si>
  <si>
    <t>jabaloy@ugr.es</t>
  </si>
  <si>
    <t>Vazquez, Juan-Tomas/L-7796-2014; Vazquez, Juan-Tomas/T-6271-2019; Barnolas, Antonio/AAQ-6863-2021; JABALOY SANCHEZ, ANTONIO/L-2955-2014; Galindo-Zaldivar, Jesus/K-3640-2012; Somoza, Luis/C-1400-2010; Surinach, Emma/C-5896-2008; vasquez, juan/JCN-9608-2023; RODRIGUEZ-FERNANDEZ, JOSE/L-7077-2014</t>
  </si>
  <si>
    <t>Vazquez, Juan-Tomas/0000-0002-3747-4838; Vazquez, Juan-Tomas/0000-0002-3747-4838; Barnolas, Antonio/0000-0002-4124-3426; JABALOY SANCHEZ, ANTONIO/0000-0001-5830-5913; Galindo-Zaldivar, Jesus/0000-0002-3493-2637; Somoza, Luis/0000-0001-5451-2288; RODRIGUEZ-FERNANDEZ, JOSE/0000-0003-0349-9209; Martinez Martinez, Jose Miguel/0000-0002-8178-0904; Balanya Roure, Juan Carlos/0000-0001-6008-4718</t>
  </si>
  <si>
    <t>10.1016/S0040-1951(03)00060-X</t>
  </si>
  <si>
    <t>679YW</t>
  </si>
  <si>
    <t>WOS:000182950400002</t>
  </si>
  <si>
    <t>Welch, BC; Jacobel, RW</t>
  </si>
  <si>
    <t>Analysis of deep-penetrating radar surveys of West Antarctica, US-ITASE 2001</t>
  </si>
  <si>
    <t>[1] We collected 1850 km of ground-based radio echo-sounding (RES) data in West Antarctica along the 2001 US leg of the International Trans-Antarctic Scientific Expedition traverse (US-ITASE). These data represent the first high-resolution measurements of ice thickness and internal stratigraphy for portions of this area that bear on questions about the stability of the West Antarctic Ice Sheet (WAIS). Internal layers depicting isochrones have been traced continuously for much of the profile length and a date from the Byrd Deep Core is ascribed to one of these isochrones from which we estimate vertical velocities across the traverse route. Comparison of our ice thickness measurements with BEDMAP show good agreement in regions where the database is well constrained by data coverage. Where the BEDMAP dataset was forced to interpolate, differences are as high as 45% of the ice thickness.</t>
  </si>
  <si>
    <t>St Olaf Coll, Dept Phys, Northfield, MN 55057 USA</t>
  </si>
  <si>
    <t>Saint Olaf College</t>
  </si>
  <si>
    <t>Welch, BC (corresponding author), St Olaf Coll, Dept Phys, Northfield, MN 55057 USA.</t>
  </si>
  <si>
    <t>APR 30</t>
  </si>
  <si>
    <t>10.1029/2003GL017210</t>
  </si>
  <si>
    <t>678GH</t>
  </si>
  <si>
    <t>WOS:000182857800005</t>
  </si>
  <si>
    <t>Martinson, DG; Iannuzzi, RA</t>
  </si>
  <si>
    <t>Spatial/temporal patterns in Weddell gyre characteristics and their relationship to global climate</t>
  </si>
  <si>
    <t>OAI; EOF; ENSO; heat flux; teleconnections</t>
  </si>
  <si>
    <t>ANTARCTIC CIRCUMPOLAR WAVE; NINO-SOUTHERN OSCILLATION; SEA-SURFACE TEMPERATURE; WINTER MIXED LAYER; ICE INTERACTION; OCEAN; TELECONNECTIONS; VARIABILITY; ENSO; HEMISPHERE</t>
  </si>
  <si>
    <t>[1] We examine the spatiotemporal variability of the upper ocean sea ice system of the Atlantic sector of the Southern Ocean subpolar seas (Weddell gyre) and the nature of its covariability with extrapolar climate. To systematically evaluate the sporadic and sparse distribution of subpolar data, we employed an optimal analysis involving empirical orthogonal functions (EOFs). The EOFs reveal that the pattern of spatial covariability of Weddell gyre characteristics is dominated by high interannual variability near the northern (circumpolar) rim of the gyre and lesser variability (10-20% of the variance) in the gyre's central core region. We find considerable, statistically significant teleconnections between subpolar and extrapolar climate. The dominant link is with El Nino-Southern Oscillation. Our analysis of the gyre characteristics suggest that during El Nino, the Atlantic subpolar ( Weddell) gyre spins up while the eastern Pacific subpolar gyre spins down; the opposite occurs for La Nina. This regional subpolar response is consistent with recent GCM modeling analyses. These show that equatorial warm anomalies drive changes in the meridional and zonal atmospheric circulation cells. This results in opposite shifts of the subpolar jets in the Pacific and Atlantic oceans that lead to a change in the interaction ( especially in cyclones) between the subtropical and polar front jets in those basins, and ultimately in the cyclonic forcing of the subpolar gyres. We also find that the Weddell gyre interior upper ocean characteristics covary positively with sea ice extent in the Atlantic region and negatively with the sea ice extent in the Amundsen/Bellingshausen regions, reflecting a strong Antarctic dipole.</t>
  </si>
  <si>
    <t>Lamont Doherty Earth Observ, Palisades, NY 10964 USA; Columbia Univ, Dept Earth &amp; Environm Sci, New York, NY USA</t>
  </si>
  <si>
    <t>Columbia University; Columbia University</t>
  </si>
  <si>
    <t>Lamont Doherty Earth Observ, Palisades, NY 10964 USA.</t>
  </si>
  <si>
    <t>dgm@LDEO.columbia.edu; iannuzzi@LDEO.columbia.edu</t>
  </si>
  <si>
    <t>C4</t>
  </si>
  <si>
    <t>10.1029/2000JC000538</t>
  </si>
  <si>
    <t>678HW</t>
  </si>
  <si>
    <t>WOS:000182862200003</t>
  </si>
  <si>
    <t>Priddle, J; Whitehouse, MJ; Ward, P; Shreeve, RS; Brierley, AS; Atkinson, A; Watkins, JL; Brandon, MA; Cripps, GC</t>
  </si>
  <si>
    <t>Biogeochemistry of a Southern Ocean plankton ecosystem: Using natural variability in community composition to study the role of metazooplankton in carbon and nitrogen cycles</t>
  </si>
  <si>
    <t>interannual variability; Southern Ocean; pelagic ecosystem; biogeochemistry; phytoplankton; grazing control</t>
  </si>
  <si>
    <t>KRILL EUPHAUSIA-SUPERBA; ANTARCTIC KRILL; COPEPOD INTERACTIONS; CHLOROPHYLL-A; SCOTIA SEA; GEORGIA; ZOOPLANKTON; AMMONIUM; PHYTOPLANKTON; ASSIMILATION</t>
  </si>
  <si>
    <t>[1] The pelagic ecosystem around the island of South Georgia is subject to significant interannual variability, and changes in zooplankton community composition can be used as natural ecosystem experiments to examine biogeochemical cycles. The biomass of the large euphausiid Antarctic krill may range from ca. 2 to 150 g fresh mass (FM) m(-2). When krill biomass is low, copepod biomass may be correspondingly higher and overall zooplankton biomass remains more or less unchanged. Krill are omnivorous, feeding facultatively either as grazers on microplankton or as predators on smaller zooplankton. This leads to complex feedbacks within the plankton. A simple model of the phytoplankton-copepod-krill system is used to simulate two scenarios of zooplankton composition. For the low krill-high copepod'' scenario, the model predicts higher phytoplankton biomass and production, lower mixed layer (ML) ammonium, nitrate and silicate concentrations, and higher detrital carbon production than in the high krill-low copepod'' scenario. Nitrogen cycling provides the most explicit demonstration of the differences between the scenarios. For the low krill-high copepod'' scenario, ML ammonium concentration decreased by 25% over 20 days, but excretion by metazooplankton supplied 30% of phytoplankton nitrogen demand. In the high krill-low copepod'' scenario, ML ammonium only declined by 10% over 20 days, but metazooplankton excretion was much lower, at 10% of phytoplankton N demand. These predictions are compared with data from several surveys covering krill biomass in the range 10-55 g FM m(-2). Phytoplankton chlorophyll biomass is negatively related to krill biomass, and ML nutrients are positively correlated with krill biomass in these data. Both observations and model results suggest that variation in biogeochemical carbon and nitrogen cycles in the South Georgia pelagic ecosystem is determined largely by changes in zooplankton community composition and its impact on phytoplankton dynamics.</t>
  </si>
  <si>
    <t>NERC, British Antarctic Survey, Div Biol Sci, Cambridge CB3 0ET, England</t>
  </si>
  <si>
    <t>STEP, Scolt House,59 High St, Barrington CB2 5QX, England.</t>
  </si>
  <si>
    <t>julian.priddle@ntlworld.com</t>
  </si>
  <si>
    <t>Whitehouse, Martin J/E-1425-2013; Brandon, Mark A/A-5804-2010; Brierley, Andrew/G-8019-2011</t>
  </si>
  <si>
    <t>Brierley, Andrew/0000-0002-6438-6892; Brandon, Mark/0000-0002-7779-0958</t>
  </si>
  <si>
    <t>10.1029/2000JC000425</t>
  </si>
  <si>
    <t>WOS:000182862200001</t>
  </si>
  <si>
    <t>Bougamont, M; Tulaczyk, S; Joughin, I</t>
  </si>
  <si>
    <t>Response of subglacial sediments to basal freeze-on - 2. Application in numerical modeling of the recent stoppage of Ice Stream C, West Antarctica</t>
  </si>
  <si>
    <t>ice stream; ice dynamics; till; stoppage; ice modeling</t>
  </si>
  <si>
    <t>SEA-LEVEL RISE; PLEISTOCENE-HOLOCENE RETREAT; SURFACE MASS-BALANCE; FORCE BUDGET; MARGIN MIGRATION; SHEET SYSTEM; SIPLE DOME; ROSS SEA; BENEATH; FLOW</t>
  </si>
  <si>
    <t>[1] Ross ice streams supply over 90% of the ice volume flowing out of the Ross sector of the West Antarctic ice sheet (WAIS). Stoppage of Ice Stream C (ISC) ca. 150 years ago appears to have pushed this sector of WAIS from negative into positive mass balance [Joughin and Tulaczyk, 2002]. We propose an explanation for the unsteady behavior of ISC using a new numerical ice-stream model, which includes an explicit treatment of a subglacial till layer. When constrained by initial conditions emulating prestoppage geometry, dynamics, and mass balance of ISC, the model yields a rapid (similar to100 years) stoppage of the main ice-stream trunk. The stoppage is triggered by basal freeze-on, which consolidates and strengthens the subglacial till. Our numerical simulations produce results consistent with a number of existing observations, for example, continuing activity of the two tributaries of ISC. The model always yields rapid stoppage unless we specify ice-stream width that is smaller than its prestoppage values (maximum of similar to80 km). We conjecture that if ISC was active for at least a few thousand years before slowdown, its width was significantly smaller than today to sustain the long active phase. Ice-stream width is a key control that helps determine whether ice-stream flow is sustainable over a long term. Our work indicates that the recent stoppage of Ice Stream C could have been part of inherent ice-stream cyclicity, and it leaves open the possibility that other active ice streams may evolve in the future toward rapid shutdowns.</t>
  </si>
  <si>
    <t>Univ Calif Santa Cruz, Dept Earth Sci, Santa Cruz, CA 95064 USA; CALTECH, Jet Prop Lab, Pasadena, CA 91109 USA</t>
  </si>
  <si>
    <t>University of California System; University of California Santa Cruz; National Aeronautics &amp; Space Administration (NASA); NASA Jet Propulsion Laboratory (JPL); California Institute of Technology</t>
  </si>
  <si>
    <t>Univ Calif Santa Cruz, Dept Earth Sci, Earth &amp; Marine Sci Bldg, Santa Cruz, CA 95064 USA.</t>
  </si>
  <si>
    <t>tulaczyk@es.ucsc.edu; ian@radar-sci.jpl.nasa.gov</t>
  </si>
  <si>
    <t>Joughin, Ian/AAR-7778-2021; Joughin, Ian R/A-2998-2008; Tulaczyk, Slawek/O-7375-2018</t>
  </si>
  <si>
    <t>Joughin, Ian/0000-0001-6229-679X; Joughin, Ian R/0000-0001-6229-679X; Tulaczyk, Slawek/0000-0002-9711-4332; Bougamont, Marion Heidi/0000-0001-7196-4171</t>
  </si>
  <si>
    <t>B4</t>
  </si>
  <si>
    <t>10.1029/2002JB001936</t>
  </si>
  <si>
    <t>678JK</t>
  </si>
  <si>
    <t>WOS:000182863600002</t>
  </si>
  <si>
    <t>Christoffersen, P; Tulaczyk, S</t>
  </si>
  <si>
    <t>Response of subglacial sediments to basal freeze-on - 1. Theory and comparison to observations from beneath the West Antarctic Ice Sheet</t>
  </si>
  <si>
    <t>Antarctica; ice stream; stoppage; freeze-on; basal ice; till</t>
  </si>
  <si>
    <t>FROST HEAVE; STREAM-B; POROUS-MEDIA; WATER; GLACIERS; DYNAMICS; MODEL; MECHANISM; DEBRIS; ENTRAINMENT</t>
  </si>
  <si>
    <t>[1] We have constructed a high-resolution numerical model of heat, water, and solute flows in sub-ice stream till subjected to basal freeze-on. The model builds on quantitative treatments of frost heave in permafrost soils. The full version of the Clapeyron equation is used. Hence, ice-water phase transition depends on water pressure, osmotic pressure, and surface tension. The two latter effects can lead to supercooling of the ice base. This supercooling, in turn, induces hydraulic gradients that drive upward flow of pore water, which feeds the growth of segregation ice onto the freezing interface. This interface may progress into the till and form ice lenses if supercooling is sufficiently strong. Hence, the ice segregation process develops a stratified basal ice layer. In our model, a high basal temperature gradient (similar to0.054degreesC m(-1)) triggers ice stream stoppage, and the loss of basal shear heating leads to relatively high basal freeze-on rates (similar to3-5 mm a(-1)). In response, the subglacial till experiences comparatively rapid consolidation. Till porosity can decrease from 40% to &lt;25%, and till strength can increase from similar to 3 kPa to &gt;120 kPa, approximately within one century. Basal supercooling arising from redistribution of solutes and ice-water interfacial effects amounts to ca. -0.35degreesC below the pressure-melting point. Fine-grained till is in our model associated with widely spaced, thick ice lenses. Coarse-grained till yields thinner ice lenses that are more closely spaced. Our model results compare favorably, although not in all details, with available observational evidence from borehole studies of West Antarctic ice streams.</t>
  </si>
  <si>
    <t>Tech Univ Denmark, Dept Civil Engn, DK-2800 Lyngby, Denmark; Univ Calif Santa Cruz, Dept Earth Sci, Santa Cruz, CA 95064 USA</t>
  </si>
  <si>
    <t>Technical University of Denmark; University of California System; University of California Santa Cruz</t>
  </si>
  <si>
    <t>Tech Univ Denmark, Dept Civil Engn, DK-2800 Kgs Lyngby, Denmark.</t>
  </si>
  <si>
    <t>pc@byg.dtu.dk; tulaczyk@es.ucsc.edu</t>
  </si>
  <si>
    <t>Christoffersen, Poul/W-3708-2019; Tulaczyk, Slawek/O-7375-2018</t>
  </si>
  <si>
    <t>Christoffersen, Poul/0000-0003-2643-8724; Tulaczyk, Slawek/0000-0002-9711-4332</t>
  </si>
  <si>
    <t>10.1029/2002JB001935</t>
  </si>
  <si>
    <t>WOS:000182863600001</t>
  </si>
  <si>
    <t>Rossetti, F; Lisker, F; Storti, F; Läufer, AL</t>
  </si>
  <si>
    <t>Tectonic and denudational history of the Rennick Graben (North Victoria Land):: Implications for the evolution of rifting between East and West Antarctica -: art. no. 1016</t>
  </si>
  <si>
    <t>TECTONICS</t>
  </si>
  <si>
    <t>Antarctica; strike-slip tectonics; apatite thermochronology; oblique rifting; Cenozoic</t>
  </si>
  <si>
    <t>FISSION-TRACK ANALYSIS; TRANSANTARCTIC MOUNTAINS; ROSS SEA; APATITE; CONSTRAINTS; REGION; MARGIN; UPLIFT; BASIN; GEOCHRONOLOGY</t>
  </si>
  <si>
    <t>[1] The tectonic depression of the Rennick Graben (northernVictoria Land, Antarctica) is a key element for deciphering the Cenozoic separation history between East and West Antarctica and evolution of the West Antarctic rift system. The geometry, kinematics and timing of the boundary faults of the Rennick Graben are presented, on the basis of a detailed structural study of the major fault segments combined with apatite fission track data. The structural architecture of the Rennick Graben is controlled by distributed and partitioned right-lateral strike-slip faulting. Fission track data indicate that the last significant denudation stage of the Rennick Graben shoulders started from Eocene times, with increasing cooling and denudation since 40-50 Ma. A direct structural connection is then established between Cenozoic denudation and the activation of the dextral strike-slip regime in north Victoria Land during the Cenozoic. In this framework, the Rennick Graben is interpreted as a localized tectonic depression generated as a displacement accommodation area of the regionally sized dextral strike-slip shearing. The results of this study (1) invalidate the commonly assumed link between Mesozoic Ross Sea rifting and opening of the Rennick Graben; (2) argue against orthogonal rifting models for the Cenozoic evolution of the Ross Sea region; and (3) provide constraints to the modalities and timing of the separation between the East Antarctic craton and the West Antarctica extensional province.</t>
  </si>
  <si>
    <t>Univ Roma Tre, Dipartimento Sci Geol, I-00146 Rome, Italy; Univ Bremen, Fachbereich Geowissensch, D-28334 Bremen, Germany; Goethe Univ Frankfurt, Inst Geol Palaontol, D-60054 Frankfurt, Germany</t>
  </si>
  <si>
    <t>Roma Tre University; University of Bremen; Goethe University Frankfurt</t>
  </si>
  <si>
    <t>Univ Roma Tre, Dipartimento Sci Geol, Largo SL Murialdo, I-00146 Rome, Italy.</t>
  </si>
  <si>
    <t>rosetti@uniroma3.it</t>
  </si>
  <si>
    <t>Rossetti, Federico/C-1391-2009; Storti, Fabrizio/D-9358-2017; Läufer, Andreas/ABC-1465-2020</t>
  </si>
  <si>
    <t>Rossetti, Federico/0000-0001-8071-7252; Läufer, Andreas/0000-0003-2219-0450; Lisker, Frank/0000-0002-1615-7315; Storti, Fabrizio/0000-0003-2809-9471</t>
  </si>
  <si>
    <t>0278-7407</t>
  </si>
  <si>
    <t>1944-9194</t>
  </si>
  <si>
    <t>Tectonics</t>
  </si>
  <si>
    <t>10.1029/2002TC001416</t>
  </si>
  <si>
    <t>678KX</t>
  </si>
  <si>
    <t>WOS:000182867300002</t>
  </si>
  <si>
    <t>Reader, MC; McFarlane, N</t>
  </si>
  <si>
    <t>Sea-salt aerosol distribution during the Last Glacial Maximum and its implications for mineral dust</t>
  </si>
  <si>
    <t>sea salt; aerosol; Last Glacial Maximum; LGM; model; GCM</t>
  </si>
  <si>
    <t>GENERAL-CIRCULATION MODEL; SIZE DISTRIBUTION; ANTARCTIC ICE; CORE; TRANSPORT; GREENLAND; CYCLE</t>
  </si>
  <si>
    <t>[1] Sea-salt aerosols and mineral dust in ice cores are complementary in their use as indicators of past climate because of their differing dependence on the various factors affecting their deposition rates, such as winds, precipitation, and soil properties. Here sea-salt aerosol distributions for the Last Glacial Maximum (LGM) and for the modern climate are simulated using an online passive aerosol model in the Canadian Centre for Climate Modelling and Analysis second-generation general circulation model. Comparison of simulated deposition rates of sea salt from the open ocean with polar ice core concentrations indicates that a 75-fold enhancement, beyond that indicated by the model, is necessary for consistency with the Greenland ice core observations and an approximate tenfold additional enhancement is necessary for Antarctica. However, considering sea ice as a possible sea-salt aerosol source allows greater simulated LGM deposition in Greenland, though there is a great deal of uncertainty in the possible magnitude of this. Using very simple models for which 1-2% of the total modern sea-salt aerosol comes from ice-covered areas, the ice core data can be accommodated by a sevenfold to tenfold overall additional LGM source enhancement. The fact that these additional enhancement factors are similar to the enhancement factor previously determined for mineral dust using the same general circulation model suggests that some combination of increased LGM surface winds and transport or deposition to ice core locations is necessary for agreement with the ice core data.</t>
  </si>
  <si>
    <t>Univ Victoria, Ctr Earth &amp; Ocean Res, Victoria, BC V8W 3P6, Canada; Canadian Ctr Climate Modelling &amp; Anal, Victoria, BC V8N 2Y2, Canada</t>
  </si>
  <si>
    <t>University of Victoria; Environment &amp; Climate Change Canada; Canadian Centre for Climate Modelling &amp; Analysis (CCCma)</t>
  </si>
  <si>
    <t>Univ Victoria, Ctr Earth &amp; Ocean Res, POB 3055, Victoria, BC V8W 3P6, Canada.</t>
  </si>
  <si>
    <t>cathy.reader@ec.gc.ca; norm.mcfarlane@ec.gc.ca</t>
  </si>
  <si>
    <t>APR 29</t>
  </si>
  <si>
    <t>D8</t>
  </si>
  <si>
    <t>10.1029/2002JD002063</t>
  </si>
  <si>
    <t>678HG</t>
  </si>
  <si>
    <t>WOS:000182860600002</t>
  </si>
  <si>
    <t>Saenko, OA; England, MH</t>
  </si>
  <si>
    <t>On the response of Southern Ocean water-masses to atmospheric meridional moisture advection</t>
  </si>
  <si>
    <t>ANTARCTIC INTERMEDIATE WATER; CLIMATE-CHANGE; CIRCULATION MODELS; GREENHOUSE-GAS; WIND</t>
  </si>
  <si>
    <t>We investigate the role of atmospheric moisture advection in determining Southern Ocean water-mass properties in a coupled climate model. Two sensitivity experiments are presented in which the winds advecting moisture are either reduced or enhanced south of 45degreesS. It is shown that a variation in meridional winds in the Southern Ocean can generate large anomalies of subsurface potential temperature (T) and salinity (S). A reduction (increase) in southward atmospheric moisture advection tends to be balanced by a corresponding reduction (increase) in northward freshwater transport in Antarctic Intermediate Water. The response of both T and S is larger in the case of reduced southward moisture advection, as this corresponds to an overall reduction of Southern Ocean stratification. The interior ocean T-S response is not always density-compensating, particularly in the Indian and Pacific Oceans. This is unlike zonal wind variations which have a tendency to change T-S in a density-conserving manner. Our study suggests that variability in meridional winds over the Southern Ocean can alter local water-mass formation rates significantly.</t>
  </si>
  <si>
    <t>Univ Victoria, Sch Earth &amp; Ocean Sci, Victoria, BC V8W 3P6, Canada; Univ New S Wales, Ctr Environm Modelling &amp; Predict, Sch Math, Sydney, NSW 2052, Australia</t>
  </si>
  <si>
    <t>Saenko, OA (corresponding author), Univ Victoria, Sch Earth &amp; Ocean Sci, POB 3055, Victoria, BC V8W 3P6, Canada.</t>
  </si>
  <si>
    <t>England, Matthew/A-7539-2011</t>
  </si>
  <si>
    <t>England, Matthew/0000-0001-9696-2930</t>
  </si>
  <si>
    <t>APR 25</t>
  </si>
  <si>
    <t>10.1029/2002GL016516</t>
  </si>
  <si>
    <t>678AD</t>
  </si>
  <si>
    <t>WOS:000182841700001</t>
  </si>
  <si>
    <t>Collins, T; Meuwis, MA; Gerday, C; Feller, G</t>
  </si>
  <si>
    <t>Activity, stability and flexibility in Glycosidases adapted to extreme thermal environments</t>
  </si>
  <si>
    <t>JOURNAL OF MOLECULAR BIOLOGY</t>
  </si>
  <si>
    <t>family 8 glycosyl hydrolases; xylanase; thermodynamics; psychrophiles; thermophiles</t>
  </si>
  <si>
    <t>CLOSTRIDIUM-THERMOCELLUM; COLD ADAPTATION; PSYCHROPHILIC ENZYMES; ANTARCTIC BACTERIUM; LOCAL FLEXIBILITY; ALPHA-AMYLASE; PROTEINS; XYLANASE; CRYSTALLIZATION; DEHYDROGENASE</t>
  </si>
  <si>
    <t>To elucidate the strategy of low temperature adaptation for a cold-adapted family 8 xylanase, the thermal and chemical stabilities, thermal inactivation, thermodependence of activity and conformational flexibility, as well as the thermodynamic basis of these processes, were compared with those of a thermophilic homolog. Differential scanning calorimetry, fluorescence monitoring of guanidine hydrochloride unfolding and fluorescence quenching were used, among other techniques, to show that the cold-adapted enzyme is characterized by a high activity at low temperatures, a poor stability and a high flexibility. In contrast, the thermophilic enzyme is shown to have a reduced low temperature activity, high stability and a reduced flexibility. These findings agree with the hypothesis that cold-adapted enzymes overcome the quandary imposed by low temperature environments via a global or local increase in the flexibility of their molecular edifice, with this in turn leading to a reduced stability. Analysis of the guanidine hydrochloride unfolding, as well as the thermodynamic parameters of irreversible thermal unfolding and thermal inactivation shows that the driving force for this denaturation and inactivation is a large entropy change while a low enthalpy change is implicated in the low temperature activity. A reduced number of salt-bridges are believed to be responsible for both these effects. Guanidine hydrochloride unfolding studies also indicate that both family 8 enzymes unfold via an intermediate prone to aggregation. (C) 2003 Elsevier Science Ltd. All rights reserved.</t>
  </si>
  <si>
    <t>Univ Liege, Biochem Lab, Inst Chem B6, B-4000 Liege, Belgium</t>
  </si>
  <si>
    <t>University of Liege</t>
  </si>
  <si>
    <t>Feller, G (corresponding author), Univ Liege, Biochem Lab, Inst Chem B6, B-4000 Liege, Belgium.</t>
  </si>
  <si>
    <t>Collins, Tony/A-3484-2012</t>
  </si>
  <si>
    <t>Collins, Tony/0000-0002-4167-973X</t>
  </si>
  <si>
    <t>0022-2836</t>
  </si>
  <si>
    <t>J MOL BIOL</t>
  </si>
  <si>
    <t>J. Mol. Biol.</t>
  </si>
  <si>
    <t>10.1016/S0022-2836(03)00287-0</t>
  </si>
  <si>
    <t>670WB</t>
  </si>
  <si>
    <t>WOS:000182431200009</t>
  </si>
  <si>
    <t>Aoki, S; Yoritaka, M; Masuyama, A</t>
  </si>
  <si>
    <t>Multidecadal warming of subsurface temperature in the Indian sector of the Southern Ocean</t>
  </si>
  <si>
    <t>Southern Ocean; multidecadal warming; southern Antarctic Circumpolar Current front; frontal shift</t>
  </si>
  <si>
    <t>SEA-ICE; EXTENT</t>
  </si>
  <si>
    <t>Long-term variations of subsurface layer temperature were examined for 32 years (1966-1998) of continuous observations in the Indian sector of the Southern Ocean. The data analyzed consist of observations from Japanese Antarctic Research Expeditions and also from other countries. Significant warming trends of about 0.004degreesC x yr(-1) were observed at all depths from 200 to 900 m to the north of the southern Antarctic Circumpolar Current (ACC) front [Orsi et al., 1995]. The rates of warming increase with increasing depth from 0.003degreesC x yr(-1) at 200 m to 0.012degreesC x yr(-1) (statistically significant) at 900 m in the region close to the front. These warming trends were also found after applying a technique to correct for differences in the data sampling locations. The warming tendency in the frontal region is consistent with the assumption of a southward shift of the front and may have a relationship with the observed retreat of sea ice edge.</t>
  </si>
  <si>
    <t>Natl Inst Polar Res, Ctr Antarctic Environm Monitoring, Itabashi Ku, Tokyo 1738515, Japan; Japan Coast Guard, Hydrog Dept, Chuo Ku, Tokyo 1040045, Japan</t>
  </si>
  <si>
    <t>Research Organization of Information &amp; Systems (ROIS); National Institute of Polar Research (NIPR) - Japan</t>
  </si>
  <si>
    <t>Aoki, S (corresponding author), Natl Inst Polar Res, Ctr Antarctic Environm Monitoring, Itabashi Ku, 1-9-10 Kaga, Tokyo 1738515, Japan.</t>
  </si>
  <si>
    <t>shigeru@nipr.ac.jp; amasuy@cue.jhd.go.jp; mmukai@cue.jhd.go.jp</t>
  </si>
  <si>
    <t>Aoki, Shigeru/D-9105-2012</t>
  </si>
  <si>
    <t>APR 24</t>
  </si>
  <si>
    <t>10.1029/2000JC000307</t>
  </si>
  <si>
    <t>678BA</t>
  </si>
  <si>
    <t>WOS:000182844000001</t>
  </si>
  <si>
    <t>Haywood, GJ; Burns, CW</t>
  </si>
  <si>
    <t>Growth of Nyctiphanes (Euphausiacea) on different diets</t>
  </si>
  <si>
    <t>crustacean; diet; Nyctiphanes; sibship; zooplankton</t>
  </si>
  <si>
    <t>ANTARCTIC KRILL; BODY SHRINKAGE; SUPERBA DANA; NEW-ZEALAND; AUSTRALIS; CRUSTACEA; DAPHNIA; MORPHOLOGY; SARS; AGE</t>
  </si>
  <si>
    <t>To determine the effects of diet on the growth rate of Nyctiphanes australis (Euphausiacea), metanauplii were reared to mature adults in the laboratory. Sibships (siblings from the same mother) were raised on different food items collected from the field and cultured in the laboratory. A sibship was divided at the calyptopis stage and 50% of the siblings were fed one of three experimental diets (Thalassiosira, Heterocapsa, or Phaeocystis); the balance of the siblings were fed a control diet of Tetraselmis chuii and Artemia larvae. The growth rate of siblings was not altered by the different diets. Siblings developed asynchronously, however, from egg to adult. Some animals were always at a more advanced developmental phase and by day 100, up to 25% larger than their siblings (p&lt;0.001). A possible implication of this result is that the larval growth of N. australis is strongly influenced by genotype. (C) 2003 Elsevier Science B.V. All rights reserved.</t>
  </si>
  <si>
    <t>Univ Otago, Dept Zool, Dunedin, New Zealand</t>
  </si>
  <si>
    <t>University of Otago</t>
  </si>
  <si>
    <t>Haywood, GJ (corresponding author), 14 Springleigh Ave,Mt Albert, Auckland, New Zealand.</t>
  </si>
  <si>
    <t>Haywood, Graeme J/G-1369-2010</t>
  </si>
  <si>
    <t>APR 22</t>
  </si>
  <si>
    <t>10.1016/S0022-0981(03)00043-1</t>
  </si>
  <si>
    <t>667TZ</t>
  </si>
  <si>
    <t>WOS:000182250600008</t>
  </si>
  <si>
    <t>Murphy, DJ; Tsutsumi, M; Riggin, DM; Jones, GOL; Vincent, RA; Hagan, ME; Avery, SK</t>
  </si>
  <si>
    <t>Observations of a nonmigrating component of the semidiurnal tide over Antarctica</t>
  </si>
  <si>
    <t>LOWER THERMOSPHERE; MEAN WINDS; 12-HOUR OSCILLATION; RADAR OBSERVATIONS; ARCTIC MESOSPHERE; UPPER-ATMOSPHERE; SOUTH-POLE; WAVE; 70-DEGREES-N; DYNAMICS</t>
  </si>
  <si>
    <t>Data obtained from the MF radars situated at Davis, Syowa and Rothera in Antarctica are used to detect a nonmigrating component of the semidiurnal tide in the mesosphere and lower thermosphere. These radars are at similar latitudes and so share a common migrating tidal component. By fitting semidiurnal tide vectors to each stations data and performing subtractions of these vectors for pairs of stations, the migrating component can be removed and the difference between the nonmigrating components revealed. Non-zero differences in the summer months (December to March) indicate the presence of a significant nonmigrating component. Modeling studies and observations at other sites suggest that it is most likely the westward propagating wavenumber 1 nonmigrating component that is contributing to the semidiurnal tide. The data presented here are found to be consistent with this hypothesis. A climatology of this nonmigrating component is presented and discussed. Comparisons with the Global Scale Wave Model suggest that latent heat release is not a significant forcing mechanism at these heights and latitudes.</t>
  </si>
  <si>
    <t>Australian Antarctic Div, Kingston, Tas 7050, Australia; Natl Inst Polar Res, Itabashi Ku, Tokyo 173, Japan; Colorado Res Associates, NWRA, Boulder, CO 80301 USA; British Antarctic Survey, Div Phys Sci, Cambridge CB3 0ET, England; Univ Adelaide, Dept Phys &amp; Math Phys, Adelaide, SA 5005, Australia; Natl Ctr Atmospher Res, Boulder, CO 80305 USA; Univ Colorado, Cooperat Inst Res Environm Sci, Boulder, CO 80307 USA</t>
  </si>
  <si>
    <t>Australian Antarctic Division; Research Organization of Information &amp; Systems (ROIS); National Institute of Polar Research (NIPR) - Japan; NorthWest Research Associates; UK Research &amp; Innovation (UKRI); Natural Environment Research Council (NERC); NERC British Antarctic Survey; University of Adelaide; National Center Atmospheric Research (NCAR) - USA; University of Colorado System; University of Colorado Boulder</t>
  </si>
  <si>
    <t>Australian Antarctic Div, Channel Highway, Kingston, Tas 7050, Australia.</t>
  </si>
  <si>
    <t>damian.murphy@aad.gov.au; tutumi@uap.nipr.ac.jp; riggin@colorado-research.com; GOLJ@bas.ac.uk; robert.vincent@adelaide.edu.au; hagan@ncar.ucar.edu; susan.avery@colorado.edu</t>
  </si>
  <si>
    <t>Vincent, Robert A/E-5450-2013; Hagan, Maura/C-7200-2008</t>
  </si>
  <si>
    <t>Vincent, Robert A/0000-0001-6559-6544; Hagan, Maura/0000-0002-8866-7429; Murphy, Damian/0000-0003-1738-5560</t>
  </si>
  <si>
    <t>10.1029/2002JD003077</t>
  </si>
  <si>
    <t>678AG</t>
  </si>
  <si>
    <t>WOS:000182842100003</t>
  </si>
  <si>
    <t>Priddle, J; King, JC</t>
  </si>
  <si>
    <t>Foreword to special section: Southern Ocean large-scale variability</t>
  </si>
  <si>
    <t>Southern Ocean; variability; El Nino-Southern Oscillation; Antarctic circumpolar wave; ecosystem dynamics</t>
  </si>
  <si>
    <t>SEA-ICE; TEMPORAL VARIATION; KRILL</t>
  </si>
  <si>
    <t>julian.priddle@ntlworld.com; JCKI@bas.ac.uk</t>
  </si>
  <si>
    <t>10.1029/2002JC001409</t>
  </si>
  <si>
    <t>678AZ</t>
  </si>
  <si>
    <t>WOS:000182843900002</t>
  </si>
  <si>
    <t>Rios, AF; Alvarez-Salgado, XA; Pèrez, FF; Bingler, LS; Arístegui, J; Mémery, L</t>
  </si>
  <si>
    <t>Carbon dioxide along WOCE line A14:: Water masses characterization and anthropogenic entry -: art. no. 3123</t>
  </si>
  <si>
    <t>SOUTH-ATLANTIC-OCEAN; ANTARCTIC INTERMEDIATE WATER; DEEP EQUATORIAL ATLANTIC; WESTERN BOUNDARY CURRENT; EASTERN NORTH-ATLANTIC; TROPICAL ATLANTIC; INTERNAL CONSISTENCY; INORGANIC CARBON; PH MEASUREMENTS; FRACTURE-ZONES</t>
  </si>
  <si>
    <t>The meridional WOCE line A14, just east of the South Atlantic Mid-Atlantic Ridge, was surveyed during the austral summer of 1995 from 4degreesN to 45degreesS. Full-depth profiles of pH, total alkalinity (TA), and total inorganic carbon (C-T) were measured, allowing a test of the internal consistency of the CO2 system parameters. The correlation between C-T measured and calculated from pH and TA was very good (r(2)=0.998), with an insignificant average difference of 0.1+/-3.0 mumol kg(-1) (n=964 data). CO2 certified reference materials (CRMs) and a collection of selected samples subsequently analyzed at the Scripps Institution of Oceanography were used to assess the accuracy of our measurements at sea with satisfactory results. The three measured CO2 system variables were then used to identify the characteristic array of zonal flows throughout the South Atlantic intersected by A14. Equatorial, subequatorial, subtropical, and subantarctic domains were identified at the depth range of the surface water, South Atlantic Central Water (SACW), Antarctic Intermediate Water (AAIW), Upper Circumpolar Water (UCPW), North Atlantic Deep Water (NADW) and Antarctic Bottom Water (AABW). The nonconservative CO2 system parameters (pH, TA, C-T) have been useful in identifying the transition from aged subequatorial to ventilated subtropical surface, central and intermediate waters. They have been identified as good tracers of the zonal circulation of NADW, with marked flows at the equator, 13degreesS, and 22degreesS (the Namib Col Current'') and the sharp transition from UNADW to UCPW at 23degreesS. The anthropogenic CO2 inventory (C-ANT) was estimated and compared with CFC-derived apparent ages for different water masses along A14. The anthropogenic entry reached maximum in the relatively young and ventilated subantarctic and subtropical domains where AAIW was the most efficient CO2 trap. The calculated annual rate of C-ANT entry by AAIW was 0.82 mumol kg(-1) y(-1), in agreement with the annual rate estimated from the equilibrium between the atmospheric pCO(2) increase and the upper mixed layer.</t>
  </si>
  <si>
    <t>CSIC, Inst Invest Marinas, Vigo 36208, Spain; Pacific NW Natl Lab, Batelle Marine Sci Lab, Sequim, WA 98382 USA; Univ Las Palmas Gran Canaria, Edificio Ciencias Basicas, Las Palmas Gran Canaria 35017, Spain; Univ Paris 06, CNRS, IRD,Inst Pierre Simon Laplace, Lab Oceanog Dynam &amp; Climatol, F-75252 Paris 05, France</t>
  </si>
  <si>
    <t>Consejo Superior de Investigaciones Cientificas (CSIC); CSIC - Instituto de Investigaciones Marinas (IIM); United States Department of Energy (DOE); Pacific Northwest National Laboratory; Universidad de Las Palmas de Gran Canaria; Universite Paris Cite; Sorbonne Universite; Universite Paris Saclay; Institut de Recherche pour le Developpement (IRD); Centre National de la Recherche Scientifique (CNRS); CNRS - National Institute for Earth Sciences &amp; Astronomy (INSU)</t>
  </si>
  <si>
    <t>CSIC, Inst Invest Marinas, Eduardo Cabella 6, Vigo 36208, Spain.</t>
  </si>
  <si>
    <t>aida@iim.csic.es; xsalgado@iim.csic.es; fiz@iim.csic.es; l.bingler@pnl.gov; jaristegui@dbil.ulpgc.es; Laurent.Memery@ipsl.jussieu.fr</t>
  </si>
  <si>
    <t>Arístegui, Javier/D-5833-2013; Alvarez-Salgado, Xose Anton/A-8365-2012; Fernandez Perez, Fiz/B-9001-2011</t>
  </si>
  <si>
    <t>Arístegui, Javier/0000-0002-7526-7741; Fernandez Perez, Fiz/0000-0003-4836-8974; Alvarez-Salgado, X. Anton/0000-0002-2387-9201</t>
  </si>
  <si>
    <t>10.1029/2000JC000366</t>
  </si>
  <si>
    <t>WOS:000182843900001</t>
  </si>
  <si>
    <t>Hiroki, Y; Matsumoto, R</t>
  </si>
  <si>
    <t>Correlation of Miocene (18-12 Ma) sequence boundaries in central Japan to major Antarctic glaciation events</t>
  </si>
  <si>
    <t>sequence boundary; Miocene; glacio-custasy; global event; Antarctic glaciation</t>
  </si>
  <si>
    <t>ICE-SHEET; OLIGOCENE/MIOCENE BOUNDARY; SEDIMENTOLOGICAL EVIDENCE; STABLE-ISOTOPE; EOCENE; OSCILLATIONS; RECORDS</t>
  </si>
  <si>
    <t>Using magnetostratigraphy constrained by biostratigraphy and radiometric dating, we have investigated whether early to early-middle Miocene (18-12 Ma) sequence boundaries in central Japan were synchronous with major Antarctic glaciation events. We have correlated Miocene sequence boundaries across three sedimentary basins across central Japan, representing backarc basin (Yatsuo area), intra-arc basin (Mizunami area), and forearc basin (Kakegawa area) environments. These boundaries were formed during four time intervals, designated as Zones Jmil to Jmi4: Zone Jmi1 correlates with Chron C5Dn (17.61-17.27 Ma), Zone Jmi2 correlates with Chron C5Br (16.01-15.15 Ma), Zone Jmi3 correlates with Subchron C5Bn1r (15.03-14.88 Ma), and Zone Jmi4 ranges from 14.88 to 12.3 +/- 1.9 Ma. The age range of Japanese Miocene (Jmi) zones represents the range of uncertainty (error limits) in the age of individual sequence boundary formation. We have correlated Zones Jmi1-3 to positive shifts of delta(18)O in the deep-sea cores from ODP Leg 120 Site 747; southern Indian Ocean, where magnetostratigraphic data are available, suggesting that the sequence boundaries of Zones Jmi I - 3 were formed by eustatic sea-level falls during major Antarctic ice sheet developments. Zone Jmi4 age constraints are too poor to test correlation with ODP Site 747. (C) 2002 Elsevier Science B.V. All rights reserved.</t>
  </si>
  <si>
    <t>Univ Tokyo, Fac Sci, Inst Geol, Tokyo 1130033, Japan</t>
  </si>
  <si>
    <t>Hiroki, Y (corresponding author), Osaka Kyoiku Univ, Dept Earth Sci, 4-698-1 Asahigaoka, Osaka 5828582, Japan.</t>
  </si>
  <si>
    <t>10.1016/S0037-0738(02)00241-5</t>
  </si>
  <si>
    <t>667MH</t>
  </si>
  <si>
    <t>WOS:000182235600007</t>
  </si>
  <si>
    <t>Gilbert, R; Domack, EW</t>
  </si>
  <si>
    <t>Sedimentary record of disintegrating ice shelves in a warming climate, Antarctic Peninsula</t>
  </si>
  <si>
    <t>Larsen Ice Shelf; Antarctica; glacial marine sedimentation; lead dating; meltwater; marine geology and geophysics : marine sediments-processes and transport; hydrology : glaciology (1863); oceanography : physical : sediment transport; oceanography : biological and chemical : sedimentation; information related to geographic region : Antarctica</t>
  </si>
  <si>
    <t>ROSS SEA; RETREAT</t>
  </si>
  <si>
    <t>[1] Seafloor sediments from beneath the former Larsen-A and Prince Gustav ice shelves document the recent breakup of the shelves and provide evidence for interpretation of previous events. At three of five sites, sediment texture coarsens upward with up to 40% sand at the surface. Radiometric Pb-210 dating shows this to have occurred between 1985 and 1993, several years before breakup of the shelf, and that rates of accumulation of sediment on the seafloor doubled to quadrupled during this period. These events are related to the release of eolian sediment in periodic rapid draining of small lakes and crevasses on the ice shelf before breakup. X-ray radiographs of sediment cores also document the recent influx of coarse particles (gravel) related to ice rafting during ice shelf disintegration. Because sediment is released irregularly in time and space from well-separated point sources on the ice shelf during at least several years before final disintegration, only a portion of the seafloor is affected.</t>
  </si>
  <si>
    <t>Queens Univ, Dept Geog, Kingston, ON K7L 3N6, Canada; Hamilton Coll, Dept Geol, Clinton, NY 13323 USA</t>
  </si>
  <si>
    <t>Queens University - Canada; Hamilton College</t>
  </si>
  <si>
    <t>gilbert@lake.geog.queensu.ca; edomack@hamilton.edu</t>
  </si>
  <si>
    <t>APR 19</t>
  </si>
  <si>
    <t>10.1029/2002GC000441</t>
  </si>
  <si>
    <t>669GT</t>
  </si>
  <si>
    <t>WOS:000182344100002</t>
  </si>
  <si>
    <t>Ainley, DG; Ballard, G; Emslie, SD; Fraser, WR; Wilson, PR; Woehler, EJ</t>
  </si>
  <si>
    <t>Adelie penguins and environmental change</t>
  </si>
  <si>
    <t>SEA-ICE EXTENT</t>
  </si>
  <si>
    <t>HT Harvey &amp; Associates, San Jose, CA 95118 USA; Point Reyes Bird Observ, Stinson Beach, CA 94970 USA; Univ N Carolina, Dept Biol Sci, Wilmington, NC 28403 USA; Polar Ocean Res Grp, Sheridan, MT 59749 USA; Landcare Res NZ, Nelson, New Zealand; Australian Antarctic Div, Hobart, Tas 7050, Australia</t>
  </si>
  <si>
    <t>University of North Carolina; University of North Carolina Wilmington; Landcare Research - New Zealand; Australian Antarctic Division</t>
  </si>
  <si>
    <t>HT Harvey &amp; Associates, 3150 Almaden Expressway,Suite 145, San Jose, CA 95118 USA.</t>
  </si>
  <si>
    <t>Woehler, Eric/0000-0002-1125-0748</t>
  </si>
  <si>
    <t>APR 18</t>
  </si>
  <si>
    <t>668LR</t>
  </si>
  <si>
    <t>WOS:000182295900015</t>
  </si>
  <si>
    <t>Croxall, JP; Trathan, PN; Murphy, EJ</t>
  </si>
  <si>
    <t>Adelie penguins and environmental change - Response</t>
  </si>
  <si>
    <t>Croxall, JP (corresponding author), British Antarctic Survey, NERC, High Cross,Madingley Rd, Cambridge CB3 0ET, England.</t>
  </si>
  <si>
    <t>WOS:000182295900016</t>
  </si>
  <si>
    <t>Billups, K; Schrag, DP</t>
  </si>
  <si>
    <t>Application of benthic foraminiferal Mg/Ca ratios to questions of Cenozoic climate change</t>
  </si>
  <si>
    <t>cenozoic; paleoceanography; oxygen isotopes; magnesium; calcium; benthic foraminifera</t>
  </si>
  <si>
    <t>SEAWATER CHEMISTRY; HYDROTHERMAL ACTIVITY; CHEMICAL-COMPOSITION; PRECIPITATION RATE; FLUID INCLUSIONS; MAGNESIUM; OCEAN; TEMPERATURE; CALCITE; CARBONATE</t>
  </si>
  <si>
    <t>We investigate the evolution of Cenozoic climate and ice volume as evidenced by the oxygen isotopic composition of seawater (delta(18)O(sw)) derived from benthic foraminiferal Mg/Ca ratios to constrain the temperature effect contained in foraminiferal delta(18)O values. We have constructed two benthic foraminiferal Mg/Ca records from intermediate water depth sites (Ocean Drilling Program sites 757 and 689 from the subtropical Indian Ocean and the Weddell Sea, respectively). Together with the previously published composite record of Lear et al. [Science 287 (2002) 269-272] and the Neogene record from the Southern Ocean of Billups and Schrag [Paleoceanography 17 (2002) 10.1029/2000PA000567], we obtain three, almost complete representations of the delta(18)O(sw) for the past 52 Myr. We discuss the sensitivity of early Cenozoic Mg/Ca-derived paleotemperatures (and hence the delta(18)O(sw)) to assumptions about seawater Mg/Ca ratios. We find that during the middle Eocene (similar to49-40 Ma), modem seawater ratios yield Mg/Ca-derived temperatures that are in good agreement with the oxygen isotope paleothermometer assuming ice-free conditions. Intermediate waters cooled during the middle Eocene reaching minimum temperatures by 40 Ma. The corresponding delta(18)O(sw) reconstructions support ice growth on Antarctica beginning by at least 40 Ma. At the Eocene/Oligocene boundary, Mg/Ca ratios (and hence temperatures) from Weddell Sea site 689 display a well-defined maximum. We caution against a paleoclimatic significance of this result and put forth that the partitioning coefficient of Mg in benthic foraminifera may be sensitive to factors other than temperature. Throughout the remainder of the Cenozoic, the temporal variability among delta(18)O(sw) records is similar and similar to longer-term trends in the benthic foraminiferal delta(18)O record. An exception occurs during the Pliocene when delta(18)O, minima in two of the three records suggest reductions in global ice volume that are not apparent in foraminiferal delta(18)O records, which provides a new perspective to the ongoing debate about the stability of the Antarctic ice sheet. Maximum delta(18)O(sw) values recorded during the Pleistocene at Southern Ocean site 747 agree well with values derived from the geochemistry of pore waters [Schrag et al., Science 272 (1996) 1930-1932] further highlighting the value of the new Mg/Ca calibrations of Martin et al. [Earth Planet. Sci. Lett. 198 (2002) 193-209] and Lear et al. [Geochim. Cosmochim. Acta 66 (2002) 3375-3387] applied in this study. We conclude that the application of foraminiferal Mg/Ca ratios allows a refined view of Cenozoic ice volume history despite uncertainties related to the geochemical cycling of Mg and Ca on long time scales. (C) 2003 Elsevier Science B.V. All rights reserved.</t>
  </si>
  <si>
    <t>Univ Delaware, Coll Marine Studies, Lewes, DE 19958 USA; Harvard Univ, Dept Earth &amp; Planetary Sci, Lab Geochem Oceanog, Cambridge, MA 02138 USA</t>
  </si>
  <si>
    <t>University of Delaware; Harvard University</t>
  </si>
  <si>
    <t>Univ Delaware, Coll Marine Studies, 700 Pilottown Rd, Lewes, DE 19958 USA.</t>
  </si>
  <si>
    <t>kbillups@udel.edu; schrag@eps.harvard.edu</t>
  </si>
  <si>
    <t>APR 15</t>
  </si>
  <si>
    <t>10.1016/S0012-821X(03)00067-0</t>
  </si>
  <si>
    <t>666RB</t>
  </si>
  <si>
    <t>WOS:000182189300013</t>
  </si>
  <si>
    <t>Rasmussen, S; Lykke-Andersen, H; Kuijpers, A; Troelstra, SR</t>
  </si>
  <si>
    <t>Post-Miocene sedimentation at the continental rise of Southeast Greenland: the interplay between turbidity and contour currents</t>
  </si>
  <si>
    <t>MARINE GEOLOGY</t>
  </si>
  <si>
    <t>Greenland; Antarctica; margin; seismics; contourite; turbidite</t>
  </si>
  <si>
    <t>NORTH-ATLANTIC; DEEP-WATER; GLACIATION; PATTERNS; MARGIN; BASIN; WEST; FAN</t>
  </si>
  <si>
    <t>Southeast Greenland continental rise depositional sequences have been studied by means of high-resolution reflection seismic data. Major depositional features of this glaciated margin have been compared with comparable seismic architectures at the Antarctic margin. Two seismic units with an estimated age of early to mid Pliocene and mid Pliocene to Recent have been analysed in detail. It is concluded that episodic turbidity currents interacting with more continuous contour currents have controlled the location and architecture of the sedimentary mounds found off Southeast Greenland. In the early Pliocene turbidite sediment input significantly surpassed the amount of sediments reworked and transported by southbound contour currents. As a result an overbank deposit developed, oriented perpendicular to the continental slope at the proximal part and parallel to the continental slope in the distal part where the effect of the turbidity processes decreased. Contour current action further resulted in a southward migration of the overbank deposit. From the mid Pliocene, a relatively stronger impact of the contour current on the sedimentation pattern is observed, suggesting a relative decrease of downslope sediment transport processes. Stronger contour current activity may have been related to generally enhanced North Atlantic deep-water circulation. This resulted in formation of elongated contourite deposits trending parallel to the continental slope both in proximal and distal settings. The morphology and seismic expression of the sedimentary mound structures at the Southeast Greenland margin display several features also observed at the Antarctic margin. It is concluded, however, that the sedimentary mounds in the latter area formed in a different way, which is principally attributed to persisting contour current activity off Antarctica during glacial stages, when currents off Southeast Greenland had virtually ceased. (C) 2003 Elsevier Science B.V. All rights reserved.</t>
  </si>
  <si>
    <t>Dept Earth Sci, DK-8200 Aarhus N, Denmark; Geol Survey Denmark &amp; Greenland GEUS, DK-1350 Copenhagen K, Denmark; Fac Earth Sci, NL-1081 HV Amsterdam, Netherlands</t>
  </si>
  <si>
    <t>Geological Survey Of Denmark &amp; Greenland</t>
  </si>
  <si>
    <t>Ramboll, Olof Palmes Alle 22, DK-8200 Aarhus N, Denmark.</t>
  </si>
  <si>
    <t>sr@ramboll.dk</t>
  </si>
  <si>
    <t>Lykke-Andersen, Holger/A-5741-2014; Troelstra, Simon/O-2355-2019</t>
  </si>
  <si>
    <t>Troelstra, Simon/0000-0002-6026-2964</t>
  </si>
  <si>
    <t>0025-3227</t>
  </si>
  <si>
    <t>1872-6151</t>
  </si>
  <si>
    <t>MAR GEOL</t>
  </si>
  <si>
    <t>Mar. Geol.</t>
  </si>
  <si>
    <t>10.1016/S0025-3227(03)00043-4</t>
  </si>
  <si>
    <t>Geosciences, Multidisciplinary; Oceanography</t>
  </si>
  <si>
    <t>Geology; Oceanography</t>
  </si>
  <si>
    <t>665NB</t>
  </si>
  <si>
    <t>WOS:000182126200004</t>
  </si>
  <si>
    <t>Hunter, J; Coleman, R; Pugh, D</t>
  </si>
  <si>
    <t>The sea level at Port Arthur, Tasmania, from 1841 to the present</t>
  </si>
  <si>
    <t>RISE</t>
  </si>
  <si>
    <t>[1] Observations of sea level at Port Arthur, Tasmania, southeastern Australia, based on a two-year record made in 1841 - 1842, a three-year record made in 1999 - 2002, and intermediate observations made in 1875 - 1905, 1888 and 1972, indicate an average rate of sea level rise, relative to the land, of 0.8 +/- 0.2 mm/year over the period 1841 to 2002. When combined with estimates of land uplift, this yields an estimate of average sea level rise due to an increase in the volume of the oceans of 1.0 +/- 0.3 mm/year, over the same period. These results are at the lower end of the recent estimate by the Intergovernmental Panel on Climate Change of global average rise for the 20th century. They provide an important contribution to our knowledge of past sea level rise in a region ( the Southern Hemisphere) where there is a dearth of other such data.</t>
  </si>
  <si>
    <t>Univ Tasmania, Antarctic CRC, Hobart, Tas 7001, Australia; Univ Tasmania, Sch Geog &amp; Environm Studies, Hobart, Tas 7001, Australia; CSIRO Marine Res, Hobart, Tas, Australia; Southampton Oceanog Ctr, Southampton SO14 3HZ, Hants, England</t>
  </si>
  <si>
    <t>University of Tasmania; University of Tasmania; Commonwealth Scientific &amp; Industrial Research Organisation (CSIRO); University of Southampton; NERC National Oceanography Centre</t>
  </si>
  <si>
    <t>Hunter, J (corresponding author), Univ Tasmania, Antarctic CRC, Private Bag 80, Hobart, Tas 7001, Australia.</t>
  </si>
  <si>
    <t>Coleman, Richard/H-4425-2012</t>
  </si>
  <si>
    <t>Coleman, Richard/0000-0002-9731-7498</t>
  </si>
  <si>
    <t>APR 10</t>
  </si>
  <si>
    <t>10.1029/2002GL016813</t>
  </si>
  <si>
    <t>669JM</t>
  </si>
  <si>
    <t>Green Accepted, Green Published, Bronze</t>
  </si>
  <si>
    <t>WOS:000182348200006</t>
  </si>
  <si>
    <t>Hoppel, K; Bevilacqua, R; Allen, D; Nedoluha, G; Randall, C</t>
  </si>
  <si>
    <t>POAM III observations of the anomalous 2002 Antarctic ozone hole</t>
  </si>
  <si>
    <t>POLAR VORTEX</t>
  </si>
  <si>
    <t>[1] The 2002 southern hemisphere winter was marked by unusually large wave activity, culminating with an unprecedented major warming in late September. This led to an similar to250 DU increase in column ozone near the pole as measured by the Polar Ozone and Aerosol Measurement (POAM) III instrument. POAM measurements of unusually high ozone mixing ratio throughout most of the stratosphere resulted primarily from air from outside the polar vortex being transported to the POAM measurement latitude. In the altitude region where chemical ozone loss from chlorine catalyzed chemistry occurs (below 600 K potential temperature) the 2002 ozone loss was similar to previous years up to the time of the major warming. The ozone loss diminished after this time (about 1 week earlier than usual), resulting in up to 20% less chemical ozone loss within the vortex than in previous winters. This corresponds to partial column ozone values below 600 K inside the polar vortex that were similar to25 DU larger in 2002 than in previous years.</t>
  </si>
  <si>
    <t>USN, Res Lab, Washington, DC 20375 USA; Univ Colorado, Atmospher &amp; Space Phys Lab, UCB 392, Boulder, CO 80309 USA</t>
  </si>
  <si>
    <t>United States Department of Defense; United States Navy; Naval Research Laboratory; University of Colorado System; University of Colorado Boulder</t>
  </si>
  <si>
    <t>USN, Res Lab, Code 7227, Washington, DC 20375 USA.</t>
  </si>
  <si>
    <t>Karl.Hoppel@nrl.navy.mil; randall@lasp.colorado.edu</t>
  </si>
  <si>
    <t>Allen, Douglas Ray/GWZ-8901-2022; RANDALL, CORA/L-8760-2014</t>
  </si>
  <si>
    <t>APR 9</t>
  </si>
  <si>
    <t>10.1029/2003GL016899</t>
  </si>
  <si>
    <t>669JK</t>
  </si>
  <si>
    <t>WOS:000182348000005</t>
  </si>
  <si>
    <t>Stibor, M; Potocky, M; Pícková, A; Karasová, P; Russell, NJ; Králová, B</t>
  </si>
  <si>
    <t>Characterization of cold-active dehydrogenases for secondary alcohols and glycerol in psychrotolerant bacteria isolated from Antarctic soil</t>
  </si>
  <si>
    <t>ENZYME AND MICROBIAL TECHNOLOGY</t>
  </si>
  <si>
    <t>secondary alcohol dehydrogenase; glycerol dehydrogenase; cold-active enzymes; psychrotolerant bacteria; biotechnology</t>
  </si>
  <si>
    <t>PURIFICATION; ENZYMES</t>
  </si>
  <si>
    <t>A NAD(P)(+)-dependent secondary alcohol dehydrogenase (2degrees ADH) and a NAD(+)-dependent glycerol dehydrogenase (GDH) have been identified in a psychrotolerant Micrococcus sp. and Arthrobacter sp., respectively, both isolated from Antarctic soil. In partially purified cell-free extracts (enriched 84- and 78-fold for 2degrees ADH and GDH, respectively), the enzymes displayed cold activity: the 2degrees ADH had optimum for activity at 33 degreesC and retained 32% of its maximum activity at 6 degreesC, the corresponding values for the GDH were 35 degreesC and 43%. The enzymes were inactivated within 10 min at 50 and 60 degreesC, for 2degrees ADH and GDH, respectively. The 2degrees ADH was active against a wide range of medium chain-length alcohols, preferring (R)-stereoisomers; the enzyme was reversible with a higher affinity for the reduction of ketones. The GDH was active against glycerol and diols containing a secondary alcohol group. These properties make the enzymes candidates for low temperature biotransformations. (C) 2002 Elsevier Science Inc. All rights reserved.</t>
  </si>
  <si>
    <t>Inst Chem Technol, Fac Food &amp; Biochem Technol, Dept Biochem &amp; Microbiol, Prague 16628, Czech Republic; Univ London, Imperial Coll Wye, Dept Biol, Ashford TN25 5AH, Kent, England</t>
  </si>
  <si>
    <t>University of Chemistry &amp; Technology, Prague; University of London; Imperial College London</t>
  </si>
  <si>
    <t>blanka.kralova@vscht.cz</t>
  </si>
  <si>
    <t>Lipovova, Petra/Q-7187-2017; Potocky, Martin/B-7041-2008; Potocká, Andrea/G-4205-2014</t>
  </si>
  <si>
    <t>Potocky, Martin/0000-0002-3699-7549; Potocká, Andrea/0000-0002-9740-8330; Lipovova, Petra/0000-0003-2275-3479</t>
  </si>
  <si>
    <t>0141-0229</t>
  </si>
  <si>
    <t>1879-0909</t>
  </si>
  <si>
    <t>ENZYME MICROB TECH</t>
  </si>
  <si>
    <t>Enzyme Microb. Technol.</t>
  </si>
  <si>
    <t>APR 8</t>
  </si>
  <si>
    <t>10.1016/S0141-0229(02)00339-3</t>
  </si>
  <si>
    <t>Biotechnology &amp; Applied Microbiology</t>
  </si>
  <si>
    <t>661UP</t>
  </si>
  <si>
    <t>WOS:000181908500005</t>
  </si>
  <si>
    <t>Heilmayer, O; Brey, T; Chiantore, M; Cattaneo-Vietti, R; Arntz, WE</t>
  </si>
  <si>
    <t>Age and productivity of the Antarctic scallop, Adamussium colbecki, in Terra Nova Bay (Ross Sea, Antarctica)</t>
  </si>
  <si>
    <t>Antarctic scallop; bivalvia; Pectinidae; production; stable isotope analysis</t>
  </si>
  <si>
    <t>PLACOPECTEN-MAGELLANICUS GMELIN; BIVALVE LATERNULA ELLIPTICA; POPULATION-DYNAMICS; PATINOPECTEN-CAURINUS; FOOD AVAILABILITY; MCMURDO-SOUND; MACROBENTHIC INVERTEBRATES; REPRODUCTIVE OUTPUT; BRITISH-COLUMBIA; GROWTH-RATES</t>
  </si>
  <si>
    <t>Body size, geographical distribution, and biomass make Adamussium colbecki (Smith, 1902) one of the most conspicuous bivalve species in the Antarctic. Based on samples collected in austral summer 1999/2000 in Terra Nova Bay, the annual formation of shell growth bands visible on X-ray photographs was verified by stable isotope analysis. A general von Bertalanffy growth function was fitted to size-at-age data of 25 individuals (H-infinity = 108.86 mm, K= 0. 114 year(-1), t(0) = -0.367, D = 1.284). Somatic production calculated from mass-specific growth rates was 234.6 kJ m(-2) year(-1). Gonadal productivity amounted to 70.92 kJ m(-2) year(-1). Annual somatic and gonad production-to-biomass ratios (PIB) were 0.199 and 0.052, respectively. According to its consumption and production, A. colbecki is likely to play a significant role in the trophic web of Terra Nova Bay. (C) 2003 Elsevier Science B.V. All rights reserved.</t>
  </si>
  <si>
    <t>Alfred Wegener Inst Polar &amp; Marine Res, D-27568 Bremerhaven, Germany; Univ Genoa, DIPTERIS, I-16132 Genoa, Italy</t>
  </si>
  <si>
    <t>Helmholtz Association; Alfred Wegener Institute, Helmholtz Centre for Polar &amp; Marine Research; University of Genoa</t>
  </si>
  <si>
    <t>Heilmayer, O (corresponding author), Alfred Wegener Inst Polar &amp; Marine Res, POB 120161,Columbusstr, D-27568 Bremerhaven, Germany.</t>
  </si>
  <si>
    <t>Heilmayer, Olaf/0000-0003-1849-1381; Brey, Thomas/0000-0002-6345-2851; Chiantore, Mariachiara/0000-0002-5862-1470</t>
  </si>
  <si>
    <t>10.1016/S0022-0981(03)00020-0</t>
  </si>
  <si>
    <t>662LN</t>
  </si>
  <si>
    <t>WOS:000181948300006</t>
  </si>
  <si>
    <t>Alimenti, C; Ortenzi, C; Carratore, V; Luporini, P</t>
  </si>
  <si>
    <t>Structural characterization of En-1, a cold-adapted protein pheromone isolated from the Antarctic ciliate Euplotes nobilii</t>
  </si>
  <si>
    <t>BIOCHIMICA ET BIOPHYSICA ACTA-GENERAL SUBJECTS</t>
  </si>
  <si>
    <t>cold-adapted protein; threonine repetition; water-borne protein hormone; ciliate biology; Antarctic biology</t>
  </si>
  <si>
    <t>PSYCHROPHILIC ENZYMES; RAIKOVI; ADAPTATION; IDENTIFICATION; PURIFICATION; BINDING; FAMILY; MEMBER; GENES; LOCUS</t>
  </si>
  <si>
    <t>The second of two diffusible cell signal proteins (pheromones) purified from a wild-type strain of the Antarctic ciliate, Euplotes nobilii, has been determined by automated Edman degradation of the whole molecule and peptides generated by its chymotryptic digestion. The proposed sequence of 52 amino acids of this new pheromone, designated En-1, is: NPEDWFTPDT(10)CAYGDSNTAW(20)TTCTTPGQTC(30)YTCCSSCFDV(40)VGEQACQMSA(50)QC. In common with the previously determined 60-amino-acid sequence of the other pheromone, En-2, it bears eight cysteines in conserved positions (presumably linked into four conserved intrachain disulfide bonds), and physicochemical features of potential significance for cold adaptation, such as a reduced hydrophobicity, an increased solvent accessibility, and an improved local backbone flexibility. However, En-1 diverges from En-2 for having evolved a threonine cluster in the place of a glycine cluster to apparently make more flexible a region that is likely functionally important. (C) 2003 Elsevier Science B.V. All rights reserved.</t>
  </si>
  <si>
    <t>Univ Camerino, Dipartimento Biol Mol Cellulare &amp; Anim, I-62032 Camerino, Italy; CNR, IBPE, Ist Biochim Prot &amp; Enzimol, I-80125 Naples, Italy</t>
  </si>
  <si>
    <t>University of Camerino; Consiglio Nazionale delle Ricerche (CNR); Istituto di Biochimica delle Proteine (IBP-CNR)</t>
  </si>
  <si>
    <t>Luporini, P (corresponding author), Univ Camerino, Dipartimento Biol Mol Cellulare &amp; Anim, Via Camerini 5, I-62032 Camerino, Italy.</t>
  </si>
  <si>
    <t>piero.luporini@unicam.it</t>
  </si>
  <si>
    <t>ORTENZI, Claudio/0000-0002-9051-4085; Alimenti, Claudio/0000-0003-2231-2948</t>
  </si>
  <si>
    <t>0304-4165</t>
  </si>
  <si>
    <t>1872-8006</t>
  </si>
  <si>
    <t>BBA-GEN SUBJECTS</t>
  </si>
  <si>
    <t>Biochim. Biophys. Acta-Gen. Subj.</t>
  </si>
  <si>
    <t>APR 7</t>
  </si>
  <si>
    <t>10.1016/S0304-4165(03)00011-4</t>
  </si>
  <si>
    <t>663YX</t>
  </si>
  <si>
    <t>WOS:000182035900003</t>
  </si>
  <si>
    <t>Won, YI; Wu, Q; Cho, YM; Shepherd, GG; Killeen, TL; Espy, PJ; Kim, Y; Solheim, B</t>
  </si>
  <si>
    <t>Polar cap observations of mesospheric and lower thermospheric 4-hour waves in temperature</t>
  </si>
  <si>
    <t>TIDAL OSCILLATIONS; GRAVITY-WAVES; AIRGLOW; MESOPAUSE; TIDES</t>
  </si>
  <si>
    <t>[1] Lower thermospheric and upper mesospheric rotational temperatures have been derived from ground-based measurements of the O-2(0-1) and OH(6-2) nightglow emissions over Resolute Bay, Canada ( 74.68degreesN, 94.90degreesW) and OH(4-2) nightglow emission over Kiruna, Sweden (67.90degreesN, 21.10degreesE). From measurements taken during two nights in November, 2001, we have observed a dominant and coherent 4-hr oscillation in both the O-2 and OH airglow emission rates and rotational temperatures. The phases for the two oscillation events remain almost constant at each location, indicating that these oscillations may not be caused by transient passage of instantaneous gravity waves. More importantly, there is little phase difference in universal time between the 4-hr oscillations in temperature at Resolute and Kiruna. The small phase difference gives a strong indication that the oscillation maybe related to a zonally symmetric tide, since any tidal waves in temperature with a nonzero zonal wavenumber are very weak at high latitudes. Waves in both events have large vertical wavelengths (76 and 175 km). The 4-hr wave shows almost no latitudinal variation from Resolute to Kiruna.</t>
  </si>
  <si>
    <t>KORDI, Polar Sci Lab, Ansan 425170, South Korea; Natl Ctr Atmospher Res, High Altitude Observ, Boulder, CO 80307 USA; York Univ, Ctr Res Earth &amp; Space Sci, Toronto, ON M3J 2R7, Canada; British Antarctic Survey, Cambridge CB3 0ET, England; KORDI, Polar Sci Lab, Ansan, South Korea</t>
  </si>
  <si>
    <t>Korea Institute of Ocean Science &amp; Technology (KIOST); National Center Atmospheric Research (NCAR) - USA; York University - Canada; UK Research &amp; Innovation (UKRI); Natural Environment Research Council (NERC); NERC British Antarctic Survey; Korea Institute of Ocean Science &amp; Technology (KIOST)</t>
  </si>
  <si>
    <t>KORDI, Polar Sci Lab, Ansan 425170, South Korea.</t>
  </si>
  <si>
    <t>qwu@ucar.edu</t>
  </si>
  <si>
    <t>Killeen, Timothy L/F-2215-2013</t>
  </si>
  <si>
    <t>APR 5</t>
  </si>
  <si>
    <t>10.1029/2002GL016364</t>
  </si>
  <si>
    <t>667NK</t>
  </si>
  <si>
    <t>WOS:000182238100004</t>
  </si>
  <si>
    <t>Grainger, S; Karoly, DJ</t>
  </si>
  <si>
    <t>A transport model study of the breakup of the Antarctic ozone hole in November 2000</t>
  </si>
  <si>
    <t>DATA ASSIMILATION SYSTEM; DEPLETION</t>
  </si>
  <si>
    <t>[1] A 3-D off-line transport model is used to examine the breakup of the Antarctic ozone hole in late November and early December 2000. The use of a transport model enables an analysis of the vortex breakup that is not possible from the use of ozonesonde observations alone. By initializing ozone mixing ratio on 1 September 2000, and using parameterized ozone production and loss rates, the evolution of the Antarctic ozone hole is simulated. The model simulation shows that during late November and early December 2000, the Antarctic ozone hole splits into two sections, with low-ozone air subsequently transported over New Zealand and south-eastern Australia. Modeled ozone values agree well with ozonesonde profiles, confirming the role of horizontal transport in the dilution of mid-latitude ozone.</t>
  </si>
  <si>
    <t>Monash Univ, Sch Math Sci, Clayton, Vic 3168, Australia</t>
  </si>
  <si>
    <t>Bur Meteorol Res Ctr, 150 Lonsdale St, Melbourne, Vic 3001, Australia.</t>
  </si>
  <si>
    <t>Karoly, David/C-8262-2011</t>
  </si>
  <si>
    <t>Karoly, David/0000-0002-8671-2994</t>
  </si>
  <si>
    <t>APR 4</t>
  </si>
  <si>
    <t>10.1029/2002GL016494</t>
  </si>
  <si>
    <t>667NH</t>
  </si>
  <si>
    <t>WOS:000182237900002</t>
  </si>
  <si>
    <t>Russell, JL; Dickson, AG</t>
  </si>
  <si>
    <t>Variability in oxygen and nutrients in South Pacific Antarctic Intermediate Water</t>
  </si>
  <si>
    <t>oxygen; intermediate water; South Pacific Antarctic; WOCE</t>
  </si>
  <si>
    <t>CIRCUMPOLAR WAVE; TEMPERATURE; PHOSPHATE; WIND</t>
  </si>
  <si>
    <t>[1] Calculation of the initial oxygen based on both phosphate and nitrate data collected along three WOCE transects indicates that the common assumption that new Antarctic Intermediate Water (AAIW) is initially saturated with respect to oxygen is incorrect. The initial oxygen concentration of AAIW is shown to be undersaturated, and the degree of undersaturation varies from year to year. Chlorofluorocarbon data is used to determined the age of AAIW at various latitudes and a frequency analysis of the variability in the initial oxygen concentrations is presented. Possible implications of this variability to the global carbon cycle are suggested.</t>
  </si>
  <si>
    <t>Univ Washington, Dept Atmospher Sci, Seattle, WA 98195 USA; Univ Calif San Diego, Scripps Inst Oceanog, La Jolla, CA 92093 USA</t>
  </si>
  <si>
    <t>University of Washington; University of Washington Seattle; University of California System; University of California San Diego; Scripps Institution of Oceanography</t>
  </si>
  <si>
    <t>Princeton Univ, NOAA, Geophys Fluid Dynam Lab, POB 308, Princeton, NJ 08542 USA.</t>
  </si>
  <si>
    <t>jrussell@princeton.edu; adickson@ucsd.edu</t>
  </si>
  <si>
    <t>Dickson, Andrew Gilmore/HPE-2168-2023</t>
  </si>
  <si>
    <t>Russell, Joellen/0000-0001-9937-6056</t>
  </si>
  <si>
    <t>10.1029/2000GB001317</t>
  </si>
  <si>
    <t>667NM</t>
  </si>
  <si>
    <t>WOS:000182238400001</t>
  </si>
  <si>
    <t>Drougas, E; Papayannis, DK; Kosmas, AM</t>
  </si>
  <si>
    <t>Quantum mechanical and kinetic studies of the reaction of methyl radicals with molecular bromine</t>
  </si>
  <si>
    <t>JOURNAL OF MOLECULAR STRUCTURE-THEOCHEM</t>
  </si>
  <si>
    <t>RRKM theory; quasi-classical trajectories; temperature dependence</t>
  </si>
  <si>
    <t>NEGATIVE ACTIVATION-ENERGIES; AB-INITIO; ANTARCTIC OZONE; 298 K; CHLORINE; DYNAMICS; SURFACE; BR-2; CL-2; C2H5</t>
  </si>
  <si>
    <t>Quantum mechanical electronic structure calculations were carried out to determine equilibrium geometries, energetics and normal mode frequencies of stationary points along the minimum energy reaction path for the reaction of methyl radicals with bromine molecules. The results are used to calculate the reactive cross-section as a function of the initial energy and the rate coefficient at different temperatures, employing both extended RRKM theory and quasi-classical trajectory techniques. Both methods agree fairly well with the experimental measurements and describe sufficiently well the slight decline in reactivity with increasing temperature, which is observed experimentally. (C) 2002 Elsevier Science B.V. All rights reserved.</t>
  </si>
  <si>
    <t>Univ Ioannina, Dept Chem, Phys Chem Lab, GR-45110 Ioannina, Greece; Univ Ioannina, Dept Sci &amp; Technol Mat, GR-45110 Ioannina, Greece</t>
  </si>
  <si>
    <t>University of Ioannina; University of Ioannina</t>
  </si>
  <si>
    <t>Kosmas, AM (corresponding author), Univ Ioannina, Dept Chem, Phys Chem Lab, GR-45110 Ioannina, Greece.</t>
  </si>
  <si>
    <t>0166-1280</t>
  </si>
  <si>
    <t>J MOL STRUC-THEOCHEM</t>
  </si>
  <si>
    <t>Theochem-J. Mol. Struct.</t>
  </si>
  <si>
    <t>PII S0166-1280(02)00699-1</t>
  </si>
  <si>
    <t>10.1016/S0166-1280(02)00699-1</t>
  </si>
  <si>
    <t>654YC</t>
  </si>
  <si>
    <t>WOS:000181523700025</t>
  </si>
  <si>
    <t>Rietveld, MT; Kosch, MJ; Blagoveshchenskaya, NF; Kornienko, VA; Leyser, TB; Yeoman, TK</t>
  </si>
  <si>
    <t>Ionospheric electron heating, optical emissions, and striations induced by powerful HF radio waves at high latitudes: Aspect angle dependence</t>
  </si>
  <si>
    <t>HF-heating; ionospheric modification; electron heating; EISCAT; striations; aspect angle</t>
  </si>
  <si>
    <t>ENHANCED INCOHERENT BACKSCATTER; FIELD-ALIGNED IRREGULARITIES; F-REGION IONOSPHERE; EISCAT OBSERVATIONS; TEMPERATURE ENHANCEMENTS; AIRGLOW ENHANCEMENTS; ARTIFICIAL AIRGLOW; THERMAL RESPONSE; HEATED REGION; PLASMA</t>
  </si>
  <si>
    <t>[1] In recent years, large electron temperature increases of 300% ( 3000 K above background) caused by powerful HF-radio wave injection have been observed during nighttime using the EISCAT incoherent scatter radar near Tromso in northern Norway. In a case study we examine the spatial structure of the modified region. The electron heating is accompanied by ion heating of about 100 degrees and magnetic field-aligned measurements show ion outflows increasing with height up to 300 m s(-1) at 582 km. The electron density decreases by up to 20%. When the radar antenna was scanned between three elevations from near field-aligned to vertical, the strongest heating effects were always obtained in the field-aligned position. When the HF-pump beam was scanned between the same three positions, the heating was still almost always strongest in the field-aligned direction. Simultaneous images of the 630 nmO(D-1) line in the radio-induced aurora showed that the enhancement caused by the HF radio waves also remained localized near the field-aligned position. Coherent HF radar backscatter also appeared strongest when the pump beam was pointed field-aligned. These results are similar to some Langmuir turbulence phenomena which also show a strong preference for excitation by HF rays launched in the field-aligned direction. The correlation of the position of largest temperature enhancement with the position of the radio-induced aurora suggests that a common mechanism, upper-hybrid wave turbulence, is responsible for both effects. Why the strongest heating effects occur for HF rays directed along the magnetic field is still unclear, but self-focusing on field-aligned striations is a candidate mechanism, and possibly ionospheric tilts may be important.</t>
  </si>
  <si>
    <t>Max Planck Inst Aeron, D-37191 Katlenburg Lindau, Germany; Univ Lancaster, Lancaster LA1 4YR, England; Arctic &amp; Antarctic Res Inst, St Petersburg 199397, Russia; Swedish Inst Space Phys, SE-57121 Uppsala, Sweden; Univ Leicester, Leicester LE1 7RH, Leics, England; EISCAT, Ramfjordbotn, Ramfjordbotn, Norway</t>
  </si>
  <si>
    <t>Max Planck Society; Lancaster University; Arctic &amp; Antarctic Research Institute; University of Leicester</t>
  </si>
  <si>
    <t>Max Planck Inst Aeron, D-37191 Katlenburg Lindau, Germany.</t>
  </si>
  <si>
    <t>rietveld@linmpi.mpg.de; m.kosch@lancaster.ac.uk; nataly@aari.nw.ru; vikkorn@aari.nw.ru; tbl@irfu.se; tim.yeoman@ion.le.ac.uk</t>
  </si>
  <si>
    <t>Blagoveshchenskaya, Nataly/AAE-4093-2022; Yeoman, Timothy k/L-9105-2014; Blagoveshchenskaya, Nataly F./S-4342-2017</t>
  </si>
  <si>
    <t>Blagoveshchenskaya, Nataly/0000-0003-1752-3273; Yeoman, Timothy k/0000-0002-8434-4825; Blagoveshchenskaya, Nataly F./0000-0003-1752-3273; Kosch, Michael Jurgen/0000-0003-2846-3915</t>
  </si>
  <si>
    <t>APR 3</t>
  </si>
  <si>
    <t>A4</t>
  </si>
  <si>
    <t>10.1029/2002JA009543</t>
  </si>
  <si>
    <t>667QH</t>
  </si>
  <si>
    <t>WOS:000182243900003</t>
  </si>
  <si>
    <t>Watanabe, O; Jouzel, J; Johnsen, S; Parrenin, F; Shoji, H; Yoshida, N</t>
  </si>
  <si>
    <t>Homogeneous climate variability across East Antarctica over the past three glacial cycles</t>
  </si>
  <si>
    <t>NATURE</t>
  </si>
  <si>
    <t>VOSTOK ICE CORE; TEMPERATURE-CHANGES; GREENLAND; RECORD; PRECIPITATION; DOME</t>
  </si>
  <si>
    <t>Recent ice core studies have raised the disturbing possibility that glacial-interglacial climate changes may be non-uniform across Antarctica(1,2). These findings have been confined to records from the Ross Sea sector of the continent, but significant deviations in other areas would call into question the widely assumed validity of the climate record obtained from Vostok, East Antarctica, on large spatial scales(3). Here we present an isotopic profile from a core drilled at Dome Fuji(4,5), situated 1,500 km from Vostok in a different sector of East Antarctica. The two records show remarkable similarities over the past three glacial cycles ( the extent of the Dome Fuji record) in both large-amplitude changes, such as terminations, interglacials and interstadials and more subtle glacial events, even when the origin of precipitation is accounted for. Our results indicate that Antarctic climate is essentially homogeneous at the scale of the East Antarctic Plateau, possibly as a consequence of the symmetry of the plateau and the adjacent ocean.</t>
  </si>
  <si>
    <t>Ctr Etud Saclay, IPSL, Lab Sci Climat &amp; Environm, CEA,CNRS,UMR, F-91191 Gif Sur Yvette, France; Natl Inst Polar Res, Itabashi Ku, Tokyo 173, Japan; Univ Copenhagen, Dept Geophys, DK-2100 Copenhagen, Denmark; Univ Reykjavik, Inst Sci, IS-107 Reykjavik, Iceland; Lab Glaciol &amp; Geophys Environm, CNRS, F-38402 St Martin Dheres, France; Kitami Inst Technol, New Energy Resources Res Ctr, Kitami, Hokkaido 0908507, Japan; Tokyo Inst Technol, Frontier Collaborat Res Ctr, Midori Ku, Yokohama, Kanagawa 2268502, Japan; Japan Sci &amp; Technol Corp, SORST Project, Kawaguchi, Saitama 3320012, Japan</t>
  </si>
  <si>
    <t>Universite Paris Saclay; CEA; Centre National de la Recherche Scientifique (CNRS); Universite Paris Cite; Research Organization of Information &amp; Systems (ROIS); National Institute of Polar Research (NIPR) - Japan; University of Copenhagen; University of Iceland; Centre National de la Recherche Scientifique (CNRS); Kitami Institute of Technology; Tokyo Institute of Technology; Japan Science &amp; Technology Agency (JST)</t>
  </si>
  <si>
    <t>Ctr Etud Saclay, IPSL, Lab Sci Climat &amp; Environm, CEA,CNRS,UMR, F-91191 Gif Sur Yvette, France.</t>
  </si>
  <si>
    <t>Yoshida, Naohiro/A-8335-2010; Parrenin, Frédéric/H-3054-2014</t>
  </si>
  <si>
    <t>Yoshida, Naohiro/0000-0003-0454-3849; Parrenin, Frédéric/0000-0002-9489-3991</t>
  </si>
  <si>
    <t>NATURE PUBLISHING GROUP</t>
  </si>
  <si>
    <t>MACMILLAN BUILDING, 4 CRINAN ST, LONDON N1 9XW, ENGLAND</t>
  </si>
  <si>
    <t>0028-0836</t>
  </si>
  <si>
    <t>1476-4687</t>
  </si>
  <si>
    <t>Nature</t>
  </si>
  <si>
    <t>10.1038/nature01525</t>
  </si>
  <si>
    <t>662TW</t>
  </si>
  <si>
    <t>WOS:000181965400034</t>
  </si>
  <si>
    <t>Kouwenberg, LLR; McElwain, JC; Kürschner, WM; Wagner, F; Beerling, DJ; Mayle, FE; Visscher, H</t>
  </si>
  <si>
    <t>Stomatal frequency adjustment of four conifer species to historical changes in atmospheric CO2</t>
  </si>
  <si>
    <t>AMERICAN JOURNAL OF BOTANY</t>
  </si>
  <si>
    <t>CO2; conifers; leaf morphology; North America; quantification methods; stomata; stomatal density</t>
  </si>
  <si>
    <t>ELEVATED CO2; PINUS-SYLVESTRIS; FOREST HISTORY; CARBON-DIOXIDE; ANTARCTIC ICE; OAK LEAVES; DENSITY; NEEDLES; RECORD; GROWTH</t>
  </si>
  <si>
    <t>The species-specific inverse relation between atmospheric CO2 concentration and stomata] frequency for many woody angiosperm species is being used increasingly with fossil leaves to reconstruct past atmospheric CO2 levels. To extend our limited knowledge of the responsiveness of conifer needles to CO2 fluctuations, the stomatal frequency response of four native North American conifer species (Tsuga heterophylla. Picea glauca, Picea mariana, and Larix taricina) to a range of historical CO2 mixing ratios (290 to 370 ppmV) was analyzed. Because of the specific mode of leaf development and the subsequent stomatal patterning in conifer needles, the stomatal index of these species was not affected by CO2. In contrast, a new measure of stomatal frequency, based on the number of stomata per millimeter of needle length, decreased significantly with increasing CO2. For Tsuga heterophylla, the stomatal frequency response to CO2 changes in the last century is validated through assessment of the influence of other biological and environmental variables. Because of their sensitive response to CO2, combined with a high preservation capacity, fossil needles of Tsuga heterophylla, Picea glauca, P. mariana. and Larix laricina have great potential for detecting and quantifying past atmospheric CO2 fluctuations.</t>
  </si>
  <si>
    <t>Univ Utrecht, Lab Palaeobot &amp; Palynol, NL-3584 CD Utrecht, Netherlands; Field Museum Nat Hist, Dept Geol, Chicago, IL 60605 USA; Univ Sheffield, Dept Anim &amp; Plant Sci, Sheffield S10 2TN, S Yorkshire, England; Univ Leicester, Dept Geog, Leicester LE1 7RH, Leics, England</t>
  </si>
  <si>
    <t>Utrecht University; Field Museum of Natural History (Chicago); University of Sheffield; University of Leicester</t>
  </si>
  <si>
    <t>Univ Utrecht, Lab Palaeobot &amp; Palynol, NL-3584 CD Utrecht, Netherlands.</t>
  </si>
  <si>
    <t>L.L.R.Kouwenberg@bio.uu.nl</t>
  </si>
  <si>
    <t>Kürschner, Wolfram Michael/B-4724-2009; Kürschner, Wolfram Michael/AAC-7769-2020; McElwain, Jennifer/B-1735-2009; McElwain, Jenny/AAX-1605-2020; Beerling, David/C-2840-2009; Wagner-Cremer, Friederike/B-4225-2009</t>
  </si>
  <si>
    <t>Kürschner, Wolfram Michael/0000-0001-6883-6486; Kürschner, Wolfram Michael/0000-0001-6883-6486; McElwain, Jennifer/0000-0002-1729-6755; McElwain, Jenny/0000-0002-1729-6755; Mayle, Francis/0000-0001-9208-0519; Beerling, David/0000-0003-1869-4314; Wagner-Cremer, Friederike/0000-0002-8119-3558; Visscher, Henk/0000-0002-9276-0220</t>
  </si>
  <si>
    <t>0002-9122</t>
  </si>
  <si>
    <t>1537-2197</t>
  </si>
  <si>
    <t>AM J BOT</t>
  </si>
  <si>
    <t>Am. J. Bot.</t>
  </si>
  <si>
    <t>APR</t>
  </si>
  <si>
    <t>10.3732/ajb.90.4.610</t>
  </si>
  <si>
    <t>683DV</t>
  </si>
  <si>
    <t>WOS:000183133300012</t>
  </si>
  <si>
    <t>Parkinson, ML; Pinnock, M; Ye, H; Hairston, MR; Devlin, JC; Dyson, PL; Morris, RJ; Ponomarenko, P</t>
  </si>
  <si>
    <t>On the lifetime and extent of an auroral westward flow channel (AWFC) observed during a magnetospheric substorm</t>
  </si>
  <si>
    <t>ionosphere; uroral ionosphere; lectric fields and currents; ionosphere-magnetospehere interactions; magnetospheric physics; storms and substorms</t>
  </si>
  <si>
    <t>SUBAURORAL ION DRIFTS; HIGH-LATITUDE IONOSPHERE; SOUTHERN MIDLATITUDE STATION; CONVECTION ELECTRIC-FIELDS; HF RADAR; MAGNETIC-FIELD; F-REGION; GEOMAGNETIC-FIELD; PLASMA CONVECTION; DYNAMICS</t>
  </si>
  <si>
    <t>A -190-nT negative bay in the geomagnetic X component measured at Macquarie Island (-65degreesA) showed that an ionospheric substorm occurred during 09:58 to 11:10 UT on 27 February 2000. Signatures of an auroral westward flow channel (AWFC) were observed nearly simultaneously in the backscatter power, LOS Doppler velocity, and Doppler spectral width measured using the Tasman International Geospace Environment Radar (TIGER), a Southern Hemisphere HF SuperDARN radar. Many of the characteristics of the AWFC were similar to those occurring during a polarisation jet (PJ), or subauroral ion drift (SAID) event, and suggest that it may have been a precursor to a fully developed, intense westward flow channel satisfying all of the criteria defining a PJ/SAID. A beam-swinging analysis showed that the westward drifts (poleward electric field) associated with the flow channel were very structured in time and space, but the smoothed velocities grew to similar to800ms(-1) (47 mVm(-1)) during the 22-min substorm onset interval 09:56 to 10: 18 UT Maximum westward drifts of &gt; 1.3 km s(-1) (&gt; 77 mV m(-1)) occurred during a similar to5-min velocity spike, peaking at 10:40 UT during the expansion phase. The drifts decayed rapidly to similar to300ms(-1) (18 mV m(-1)) during the 6-min recovery phase interval, 11:04 to 11: 10 UT. Overall, the AWFC had a lifetime of 74 min, and was located near -65degreesLambda in the evening sector west of the Harang discontinuity. The large westward drifts were confined to a geographic zonal channel of longitudinal extent &gt; 20degrees (&gt; 1.3 h magnetic local time), and latitudinal width similar to2degreesA. Using a half-width of similar to100km in latitude, the peak electric potential was &gt; 7.7 kV. However, a transient velocity of &gt; 3.1 km s(-1) with potential &gt; 18.4 kV was observed further poleward at the end of the recovery phase. Auroral oval boundaries determined using DMSP measurements suggest the main flow channel overlapped the equatorward boundary of the diffuse auroral oval. During the similar to2-h interval following the flow channel, an similar to3degreesLambda wide band of scatter was observed drifting slowly toward the west, with speeds gradually decaying to similar to50 ms(-1) (3 mV m(-1)). The scatter was observed extending past the Harang discontinuity, and had Doppler signatures characteristic of the main ionospheric trough, implicating the flow channel in the further depletion of F-region plasma. The character of this scatter was in contrast with the character of the scatter drifting toward the east at higher latitude.</t>
  </si>
  <si>
    <t>La Trobe Univ, Dept Phys, Bundoora, Vic 3086, Australia; British Antarctic Survey, NERC, Cambridge CB3 0ET, England; La Trobe Univ, Dept Elect Engn, Bundoora, Vic 3086, Australia; Univ Texas, Willian B Hanson Ctr Space Sci, Richardson, TX USA; Australian Antarctic Div, Kingston, Tas 7050, Australia; Univ Newcastle, Dept Phys, Newcastle, NSW 2038, Australia</t>
  </si>
  <si>
    <t>La Trobe University; UK Research &amp; Innovation (UKRI); Natural Environment Research Council (NERC); NERC British Antarctic Survey; La Trobe University; University of Texas System; University of Texas Dallas; Australian Antarctic Division; University of Newcastle</t>
  </si>
  <si>
    <t>La Trobe Univ, Dept Phys, Bundoora, Vic 3086, Australia.</t>
  </si>
  <si>
    <t>Ponomarenko, Pasha/IUQ-8133-2023</t>
  </si>
  <si>
    <t>Ponomarenko, Pasha/0000-0001-8407-0193; Hairston, Marc/0000-0003-4524-4837</t>
  </si>
  <si>
    <t>1432-0576</t>
  </si>
  <si>
    <t>10.5194/angeo-21-893-2003</t>
  </si>
  <si>
    <t>775MY</t>
  </si>
  <si>
    <t>WOS:000189046200005</t>
  </si>
  <si>
    <t>Lepidi, S; Cafarella, L; Francia, P; Meloni, A; Palangio, P; Schott, JJ</t>
  </si>
  <si>
    <t>Low frequency geomagnetic field variations at Dome C (Antarctica)</t>
  </si>
  <si>
    <t>magnetospheric physics; MHD waves and instabilities; polar cap phenomena; solar wind-magnetosphere interactions</t>
  </si>
  <si>
    <t>LINE RESONANCES; FLUCTUATIONS; PULSATIONS; POWER; CUSP; WAVE</t>
  </si>
  <si>
    <t>We conduct an analysis of the geomagnetic field variations recorded at the new Antarctic station Dome C, located very close to the geomagnetic pole, which has been operating for approximately one month during the 1999-2000 campaign. We also perform a comparison with simultaneous measurements at the Italian Antarctic station Terra Nova Bay, in order to investigate the spatial extension of the phenomena observed at very high latitude. Our results show that between the two stations the daily variation is similar and the fluctuations with f similar to1 mHz are coherent, provided that in both cases the comparison is made between geographically oriented components, suggesting that ionospheric currents related to the geographic position, more than field-aligned currents, are responsible for the lowest frequency variations; conversely, higher frequency (Pc5) fluctuations are substantially decoupled between the two stations. We also found that at Dome C the fluctuation power in the 0.55-6.7 mHz frequency band is well related with the solar wind speed during the whole day and that at Terra Nova Bay the correlation is also high. except around local geomagnetic noon, when the station approaches the polar cusp. These results indicate that the solar wind speed control of the geomagnetic field fluctuation power is very strict in the polar cap and less important close to the polar cusp.</t>
  </si>
  <si>
    <t>Ist Nazl Geofis &amp; Vulcanol, Laquila, Italy; Inst Nazl Geofis &amp; Vulcanol, Rome, Italy; Univ Aquila, Dipartimento Fis, I-67100 Laquila, Italy; IPG, EOST, Strasbourg, France</t>
  </si>
  <si>
    <t>Istituto Nazionale Geofisica e Vulcanologia (INGV); Istituto Nazionale Geofisica e Vulcanologia (INGV); University of L'Aquila; Universites de Strasbourg Etablissements Associes; Universite de Strasbourg</t>
  </si>
  <si>
    <t>Ist Nazl Geofis &amp; Vulcanol, Laquila, Italy.</t>
  </si>
  <si>
    <t>lepidi@ingv.it</t>
  </si>
  <si>
    <t>Cafarella, Lili/HTO-5890-2023; cafarella, lili/G-4160-2011</t>
  </si>
  <si>
    <t>cafarella, lili/0000-0003-2005-8923</t>
  </si>
  <si>
    <t>10.5194/angeo-21-923-2003</t>
  </si>
  <si>
    <t>WOS:000189046200007</t>
  </si>
  <si>
    <t>Chisham, G; Freeman, MP</t>
  </si>
  <si>
    <t>A technique for accurately determining the cusp-region polar cap boundary using SuperDARN HF radar measurements</t>
  </si>
  <si>
    <t>ionosphere; instruments and techniques; magnetospheric physics; magnetopause, cusp and boundary layers; magnetosphere-ionosphere interactions</t>
  </si>
  <si>
    <t>SMALL-SCALE IRREGULARITIES; FLUX-TRANSFER EVENTS; LATITUDE F-REGION; IONOSPHERIC CUSP; LAYER CAMPAIGN; IDENTIFICATION; ALTITUDE; RECONNECTION; BACKSCATTER; SIGNATURES</t>
  </si>
  <si>
    <t>Accurately measuring the location and motion of the polar cap boundary (PCB) in the high-latitude ionosphere can be crucial for studies concerned with the dynamics of the polar cap, e.g. the measurement of reconnection rates. The Doppler spectral width characteristics of backscatter received by the SuperDARN HF radars have been previously used for locating and tracking the PCB in the cusp region. The boundary is generally observed in meridional beams of the SuperDARN radars and appears as a distinct change between low spectral width values observed equatorward of the cusp region, and high, but variable spectral width values observed within the cusp region. To identify the spectral width boundary (SWB) between these two regions, a simple algorithm employing a spectral width threshold has often been applied to the data. However, there is not, as yet, a standard algorithm, or spectral width threshold, which is universally applied. Nor has there been any rigorous assessment of the accuracy of this method of boundary determination. This study applies a series of threshold algorithms to a simulated cusp-region spectral width data set, to assess the accuracy of different algorithms. This shows that simple threshold algorithms correctly identify the boundary location in, at the most, 50% of the cases and that the average boundary error is at least similar to1-2 range gates (similar to1degrees latitude). It transpires that spatial and temporal smoothing of the spectral width data (e.g. by median filtering), before application of a threshold algorithm can increase the boundary determination accuracy to over 95% and the average boundary error to much less than a range gate. However, this is sometimes at the cost of temporal resolution in the motion of the boundary location. The algorithms are also applied to a year's worth of spectral width data from the cusp ionosphere, measured by the Halley SuperDARN radar in Antarctica. This analysis highlights the increased accuracy of the enhanced boundary determination algorithm in the cusp region. Away from the cusp, the resulting SWB locations are often dependent on the choice of threshold. This suggests that there is not a sharp latitudinal SWB in regions of the dayside ionosphere away from the cusp, but that there is a shallower latitudinal gradient in spectral width near the boundary location.</t>
  </si>
  <si>
    <t>Chisham, G (corresponding author), British Antarctic Survey, NERC, High Cross,Madingley Rd, Cambridge CB3 0ET, England.</t>
  </si>
  <si>
    <t>G.Chisham@bas.ac.uk</t>
  </si>
  <si>
    <t>10.5194/angeo-21-983-2003</t>
  </si>
  <si>
    <t>WOS:000189046200011</t>
  </si>
  <si>
    <t>Bianchini, G; Cortesi, U; Carli, B</t>
  </si>
  <si>
    <t>Emission Fourier transform spectroscopy for remote sensing of the Earth's atmosphere</t>
  </si>
  <si>
    <t>ANNALS OF GEOPHYSICS</t>
  </si>
  <si>
    <t>Fourier transform spectroscopy; emmission spectroscopy; Earth observation; stratospheric chemistry</t>
  </si>
  <si>
    <t>Fourier transform emission spectroscopy can make an important contribution in the observation of the Earth's atmosphere and in the investigation of atmospheric physics and chemistry. In this paper, we report the measurement performances and the result obtained by a Fourier transform spectrometer, named SAFIRE-A (Spectroscopy of the Atmosphere using Far Infrared Emission - Airborne), operating in the far infrared spectral region from limb sounding observation of the atmospheric emission from a high altitude aircraft. After a short review of the advantages of FTS emission limb sounding in comparison with competing techniques and observation geometries, a detailed description of the instrument is given with the result obtained during the APE-GAIA (Airborne Polar Experiment - Geophysica Aircraft In Antarctica) field campaign carried out over the Antarctic Peninsula.</t>
  </si>
  <si>
    <t>Ist Ric Onde Elettromagnet Nello Carrara, I-50127 Florence, Italy</t>
  </si>
  <si>
    <t>Ist Ric Onde Elettromagnet Nello Carrara, Via Panciatichi 64, I-50127 Florence, Italy.</t>
  </si>
  <si>
    <t>gb@iroe.fi.cnr.it</t>
  </si>
  <si>
    <t>Bianchini, Giovanni/ABD-3585-2020; Cortesi, Ugo/D-2704-2012</t>
  </si>
  <si>
    <t>Bianchini, Giovanni/0000-0002-5400-7721; Cortesi, Ugo/0000-0002-2827-5239</t>
  </si>
  <si>
    <t>IST NAZIONALE DI GEOFISICA E VULCANOLOGIA</t>
  </si>
  <si>
    <t>ROME</t>
  </si>
  <si>
    <t>VIA VIGNA MURATA 605, ROME, 00143, ITALY</t>
  </si>
  <si>
    <t>1593-5213</t>
  </si>
  <si>
    <t>2037-416X</t>
  </si>
  <si>
    <t>ANN GEOPHYS-ITALY</t>
  </si>
  <si>
    <t>698XU</t>
  </si>
  <si>
    <t>WOS:000184026100005</t>
  </si>
  <si>
    <t>Colacino, M; Rafanelli, C</t>
  </si>
  <si>
    <t>Italian research on the Antarctic atmosphere</t>
  </si>
  <si>
    <t>Antarctica; atmospheric researches</t>
  </si>
  <si>
    <t>In this work after a short introduction on the structure of Programma Nazionale di Ricerche in Antartide, the different researches on atmospheric physics developed by Italian scientists are presented. The international activities are described, with particular attention both to APE experiment and the setting up of the new base in Dome-C. The results obtained are also discussed and the new projects proposed by SCAR or other international bodies are recalled. The reduction of funds and fall in young people interested in scientific studies represent the main problems for the future work.</t>
  </si>
  <si>
    <t>CNR, ISAC, I-00133 Rome, Italy</t>
  </si>
  <si>
    <t>Consiglio Nazionale delle Ricerche (CNR); Istituto di Scienze dell'Atmosfera e del Clima (ISAC-CNR)</t>
  </si>
  <si>
    <t>Colacino, M (corresponding author), CNR, ISAC, Via Fosso Cavaliere 100, I-00133 Rome, Italy.</t>
  </si>
  <si>
    <t>EDITRICE COMPOSITORI BOLOGNA</t>
  </si>
  <si>
    <t>SIENA</t>
  </si>
  <si>
    <t>VIA SAN QUIRICO 13/2, I-53100 SIENA, ITALY</t>
  </si>
  <si>
    <t>WOS:000184026100010</t>
  </si>
  <si>
    <t>de Zafra, RL; Muscari, G; Smyshlyaev, S</t>
  </si>
  <si>
    <t>On the cryogenic removal of NOy from the Antarctic polar stratosphere</t>
  </si>
  <si>
    <t>polar stratosphere; reactive nitrogen; heterogeneous chemistry; tracer-tracer correlations</t>
  </si>
  <si>
    <t>WAVE SPECTROSCOPIC MEASUREMENTS; SOUNDER HNO3 OBSERVATIONS; SOUTH-POLE; 2-DIMENSIONAL MODEL; MIDDLE ATMOSPHERE; REACTIVE NITROGEN; NITRIC-OXIDE; WINTER; OZONE</t>
  </si>
  <si>
    <t>We review current knowledge about the annual cycle of transport of nitrogen oxides to, and removal from, the polar stratosphere. with particular attention to Antarctica where the annual winter denitrification process is both regular in occurrence and severe in effect. Evidence for a large downward flux of NOy from the mesosphere to the stratosphere. first seen briefly in the Limb Infrared Monitor of the Stratosphere (LIMS) data from the Arctic winter of 1978-1979. has been found during the 1990s in both satellite and ground-based observations, though this still seems to be omitted from many atmospheric models. When incorporated in the Stony Brook -St. Petersburg two dimensional (2D) transport and chemistry model, more realistic treatment of the NO, flux, along with sulfate transport from the mesophere, sulfate aerosol formation where temperature is favorable, and the inclusion of a simple ion-cluster reaction, leads to good agreement with observed HNO3, formation in the mid-winter middle to upper stratosphere. To further emphasize the importance of large fluxes of thermospheric and mesospheric NOy into the polar stratosphere. we have used observations, supplemented with model calculations, to define new altitude dependent correlation curves between N2O and NOy. These are more suitable than those previously used in the literature to represent conditions within the Antarctic vortex region prior to and during denitrification by Polar Stratospheric Cloud (PSC) particles. Our NOy-N2O curves lead to a 40% increase in the average amount of NO, removed during the Antarctic winter with respect to estimates calculated using NOy-N2O curves from the Atmospheric Trace Molecule Spectroscopy (ATMOS)/ATLAS-3 data set.</t>
  </si>
  <si>
    <t>SUNY Stony Brook, Dept Phys &amp; Astron, Inst Terr &amp; Planetary Atmospheres, Stony Brook, NY 11794 USA; Russian State Hydrometeorol Inst, St Petersburg, Russia</t>
  </si>
  <si>
    <t>State University of New York (SUNY) System; State University of New York (SUNY) Stony Brook</t>
  </si>
  <si>
    <t>SUNY Stony Brook, Dept Phys &amp; Astron, Inst Terr &amp; Planetary Atmospheres, Stony Brook, NY 11794 USA.</t>
  </si>
  <si>
    <t>rdezafra@notes.cc.sunysb.edu</t>
  </si>
  <si>
    <t>Smyshlyaev, Sergei/F-1198-2014</t>
  </si>
  <si>
    <t>Smyshlyaev, Sergei/0000-0002-8291-6738</t>
  </si>
  <si>
    <t>WOS:000184026100012</t>
  </si>
  <si>
    <t>Jorgensen, TS</t>
  </si>
  <si>
    <t>On particles in the Arctic stratosphere</t>
  </si>
  <si>
    <t>Arctic stratosphere; ozone layer; polar stratospheric clouds - sulphate aerosols</t>
  </si>
  <si>
    <t>AEROSOL LAYER; VOLCANIC AEROSOL; OZONE DEPLETION; CLOUD PARTICLES; MOUNT-PINATUBO; THULE; GREENLAND; TEMPERATURE; ERUPTIONS; LIQUID</t>
  </si>
  <si>
    <t>Soon after the discovery of the Antarctic ozone hole it became clear that particles in the polar stratosphere had an influence on the destruction of the ozone layer. Two major types of particles, sulphate aerosols and Polar Stratospheric Clouds (PSCs), provide the surfaces where fast heterogeneous chemical reactions convert inactive halogen reservoir species into potentially ozone-destroying radicals. Lidar measurements have been used to classify the PSCs. Following the Mt. Pinatubo eruption in June 1991 it was found that the Arctic stratosphere was loaded with aerosols. and that aerosols observed with lidar and ozone observed with ozone sondes displayed a layered structure. and that the aerosol and ozone contents in the layers frequently appeared to be negatively correlated. The layered structure was probably due to modulation induced by the dynamics at the edge of the polar vortex. Lidar observations of the Mt. Pinatubo aerosols were in several cases accompanied by balloon-borne backscatter soundings, whereby backscatter measurements in three different wavelengths made it possible to obtain information about the particle sizes. An investigation of the influence of synoptic temperature histories on the physical properties of PSC particles has shown that most of the liquid type 1b particles were observed in the process of an ongoing, relatively fast, and continuous cooling from temperatures clearly above the nitric acid trihydrate condensation temperature (T-NAT). On the other hand, it appeared that a relatively long period, with a duration of at least 1-2 days, at temperatures below T-NAT provide the conditions which may lead to the production of solid type 1a PSCs.</t>
  </si>
  <si>
    <t>Danish Meteorol Inst, DK-2100 Copenhagen, Denmark</t>
  </si>
  <si>
    <t>Danish Meteorological Institute DMI</t>
  </si>
  <si>
    <t>Jorgensen, TS (corresponding author), Danish Meteorol Inst, Lyngbyvej 100, DK-2100 Copenhagen, Denmark.</t>
  </si>
  <si>
    <t>WOS:000184026100017</t>
  </si>
  <si>
    <t>Naithani, J; Argentini, S; Schayes, G; Mastrantonio, G</t>
  </si>
  <si>
    <t>Analysis of strong wind events around Adelie Land, East Antarctica</t>
  </si>
  <si>
    <t>strong wind events; cyclones; Dumont d'Orville; Antarctica</t>
  </si>
  <si>
    <t>SURFACE WINDS</t>
  </si>
  <si>
    <t>Strong wind events at Dumont d'Urville (DdU), an East Antarctic coastal station, and Dome C, an interior station, were studied to determine if the wind along the Adelie Land coast increases with the approach of the depression from the west of the site or after its passage to the east of it. The events for the year 1993 were studied using synoptic observations, mean sea level pressure charts and composite infrared satellite images. It was found that the winds are enhanced with the approach of a depression from the west towards the DdU coast. The wind increases in response to the decreasing pressure at the coastal site and increasing downslope pressure difference (dp). The wind starts decreasing once the system moves to the east of DdU and the pressure at DdU starts building up, as reported in some earlier studies. The response of wind to the approaching depression is not the same for all the events but depends on the downslope pressure difference and the movement of the depression that is often conditioned by the presence of a blocking high to the northeast. The wind comes down if the system starts penetrating inland due to the presence of the high pressure ridge to the northeast and decreasing dp. It is observed that the winds at Dome C increase to as high as 17 m s(-1) with the inland penetration of the depression.</t>
  </si>
  <si>
    <t>Univ Catholique Louvain, Inst Astron &amp; Geophys Geoges Lemaitre, B-1348 Louvain, Belgium; CNR, ISAC, Rome, Italy</t>
  </si>
  <si>
    <t>Universite Catholique Louvain; Consiglio Nazionale delle Ricerche (CNR); Istituto di Scienze dell'Atmosfera e del Clima (ISAC-CNR)</t>
  </si>
  <si>
    <t>Naithani, J (corresponding author), Univ Catholique Louvain, Inst Astron &amp; Geophys Geoges Lemaitre, B-1348 Louvain, Belgium.</t>
  </si>
  <si>
    <t>ARGENTINI, STEFANIA/0000-0002-7939-0309</t>
  </si>
  <si>
    <t>WOS:000184026100021</t>
  </si>
  <si>
    <t>Forecasting for Antarctic rescue</t>
  </si>
  <si>
    <t>670QP</t>
  </si>
  <si>
    <t>WOS:000182420400011</t>
  </si>
  <si>
    <t>Wanntorp, L</t>
  </si>
  <si>
    <t>Gunnera and its Antarctic distribution.</t>
  </si>
  <si>
    <t>CLADISTICS-THE INTERNATIONAL JOURNAL OF THE WILLI HENNIG SOCIETY</t>
  </si>
  <si>
    <t>21st Annual Meeting of the Willi-Hennig-Society</t>
  </si>
  <si>
    <t>AUG 11-15, 2002</t>
  </si>
  <si>
    <t>ESPOO, FINLAND</t>
  </si>
  <si>
    <t>Stockholm Univ, Dept Bot, SE-10691 Stockholm, Sweden</t>
  </si>
  <si>
    <t>Stockholm University</t>
  </si>
  <si>
    <t>0748-3007</t>
  </si>
  <si>
    <t>CLADISTICS</t>
  </si>
  <si>
    <t>Cladistics-Int. J. Willi Hennig Soc.</t>
  </si>
  <si>
    <t>Evolutionary Biology; Zoology</t>
  </si>
  <si>
    <t>675JK</t>
  </si>
  <si>
    <t>WOS:000182690600067</t>
  </si>
  <si>
    <t>Kim, SJ; Flato, GM; Boer, GJ</t>
  </si>
  <si>
    <t>A coupled climate model simulation of the last glacial maximum, Part 2: approach to equilibrium</t>
  </si>
  <si>
    <t>SEA-SURFACE TEMPERATURE; ATLANTIC THERMOHALINE CIRCULATION; OCEAN-ATMOSPHERE MODEL; NORTH-ATLANTIC; WATER CIRCULATION; TROPICAL CLIMATE; SOUTH-ATLANTIC; GREENHOUSE-GAS; CARBON-DIOXIDE; TRADE WINDS</t>
  </si>
  <si>
    <t>The climate of the last glacial maximum (LGM) is simulated with a coupled climate model. The simulated climate undergoes a rapid adjustment during the first several decades after imposition of LGM boundary conditions, as described in Part 1, and then evolves toward equilibrium over 900 model years. The climate simulated by the coupled model at this period is compared with observationally-based LGM reconstructions and with LGM results obtained with an atmosphere-mixed layer (slab) ocean version of the model in order to investigate the role of ocean dynamics in the LGM climate. Global mean surface air temperature and sea surface temperature (SST) decrease by about 10 degreesC and 5.6 degreesC in the coupled model which includes ocean dynamics, compared to decreases of 6.3 and 3.8 degreesC in slab ocean case. The coupled model simulates a cooling of about 6.5 degreesC over the tropics, which is larger than that of the CLIMAP reconstruction (1.7 degreesC) and larger than that of the slab ocean simulation (3.3 degreesC), but which is in reasonable agreement with some recent proxy estimates. The ocean dynamics of the coupled model captures features found in the CLIMAP reconstructions such as a relative maximum of ocean cooling over the tropical Pacific associated with a mean La Nina-like response and lead to a more realistic SST pattern than in the slab model case. The reduction in global mean precipitation simulated in the coupled model is larger (15%) than that simulated with the slab ocean model (similar to10%) in conjunction with the enhanced cooling. Some regions, such as the USA and the Mediterranean region, experience increased precipitation in accord with proxy paleoclimate evidence. The overall much drier climate over the ocean leads to higher sea surface salinity (SSS) in most ocean basins except for the North Atlantic where SSS is considerably lower due to an increase in the supply of fresh water from the Mississippi and Amazon rivers and presumably a decrease in salt transport by the weakened North Atlantic overturning circulation. The North Atlantic overturning stream function weakens to less than half of the control run value. The overturning is limited to a shallower depth (less than 1000 m) and its outflow is confined to the Northern Hemisphere. In the Southern Ocean, convection is much stronger than in the control run leading to a stronger overturning stream function associated with enhanced Antarctic Bottom Water formation. As a result, Southern Ocean water masses fill the entire deep ocean. The Antarctic Circumpolar Current (ACC) transport through the Drake Passage increases by about 25%. The ACC transport, despite weaker zonal winds, is enhanced due to changes in bottom pressure torque. The weakening of the overturning circulation in the North Atlantic and the accompanying 30% decrease in the poleward ocean heat transport contrasts with the strengthening of the overturning circulation in the Southern Ocean and a 40% increase in heat transport. As a result, sea ice coverage and thickness are affected in opposite senses in the two hemispheres. The LGM climate simulated by the coupled model is in reasonable agreement with paleoclimate proxy evidence. The dynamical response of the ocean in the coupled model plays an important role in determining the simulated, and undoubtedly, the actual, LGM climate.</t>
  </si>
  <si>
    <t>Duke Univ, Div Earth &amp; Ocean Sci, Durham, NC 27708 USA; Univ Victoria, Canadian Ctr climate Modelling &amp; Anal, Meteorol Serv Canada, Victoria, BC V8W 2Y2, Canada</t>
  </si>
  <si>
    <t>Duke University; University of Victoria; Environment &amp; Climate Change Canada; Canadian Centre for Climate Modelling &amp; Analysis (CCCma); Meteorological Service of Canada</t>
  </si>
  <si>
    <t>Duke Univ, Div Earth &amp; Ocean Sci, Durham, NC 27708 USA.</t>
  </si>
  <si>
    <t>sjkim@duke.edu</t>
  </si>
  <si>
    <t>boer, george/AAB-1269-2021; Flato, Gregory M/K-6711-2015</t>
  </si>
  <si>
    <t>10.1007/s00382-002-0292-2</t>
  </si>
  <si>
    <t>681DV</t>
  </si>
  <si>
    <t>WOS:000183022400005</t>
  </si>
  <si>
    <t>Wright, EL; Erickson, JD</t>
  </si>
  <si>
    <t>Incorporating catastrophes into integrated assessment: Science, impacts, and adaptation</t>
  </si>
  <si>
    <t>CLIMATIC CHANGE</t>
  </si>
  <si>
    <t>ABRUPT CLIMATE-CHANGE; ANTARCTIC ICE-SHEET; OCEAN-ATMOSPHERE MODEL; NORTH-ATLANTIC OCEAN; DEEP-WATER FORMATION; YOUNGER DRYAS EVENT; THERMOHALINE CIRCULATION; LAST DEGLACIATION; TROPICAL PACIFIC; CHANGE POLICY</t>
  </si>
  <si>
    <t>Incorporating potential catastrophic consequences into integrated assessment models of climate change has been a top priority of policymakers and modelers alike. We review the current state of scientific understanding regarding three frequently mentioned geophysical catastrophes, with a view toward their implications for integrated assessment modeling. This review finds inadequacies in widespread model assumptions regarding the nature of catastrophes themselves and climate change impacts more generally. The possibility of greatly postponed consequences from near- and medium-term actions suggests that standard discounting practices are inappropriate for the analysis of climate catastrophe. Careful consideration of paleoclimate and geophysical modeling evidence regarding the possibility of changes in ocean circulation suggests a reframing of the source of climate change damages in economic models, placing changes in climate predictability, rather than gradual changes in mean values, at the focus of economic damage assessments. The implications of decreases in predictability for the modeling of adaptation are further discussed.</t>
  </si>
  <si>
    <t>US EPA, Natl Risk Management Res Lab, Res Triangle Pk, NC 27711 USA; Univ Vermont, Sch Nat Resources, Aiken Ctr 344, Burlington, VT 05405 USA</t>
  </si>
  <si>
    <t>United States Environmental Protection Agency; University of Vermont</t>
  </si>
  <si>
    <t>Wright, EL (corresponding author), US EPA, Natl Risk Management Res Lab, Mail Drop E-305-02, Res Triangle Pk, NC 27711 USA.</t>
  </si>
  <si>
    <t>evelynwright@mindspring.com; jdericks@zoo.uvm.edu</t>
  </si>
  <si>
    <t>Erickson, Jon D/C-4020-2009</t>
  </si>
  <si>
    <t>Erickson, Jon D./0000-0002-2235-7428</t>
  </si>
  <si>
    <t>0165-0009</t>
  </si>
  <si>
    <t>1573-1480</t>
  </si>
  <si>
    <t>Clim. Change</t>
  </si>
  <si>
    <t>10.1023/A:1022829706609</t>
  </si>
  <si>
    <t>657WJ</t>
  </si>
  <si>
    <t>WOS:000181689100002</t>
  </si>
  <si>
    <t>Evans, K; Hindell, MA; Thiele, D</t>
  </si>
  <si>
    <t>Body fat and condition in sperm whales, Physeter macrocephalus, from southern Australian waters</t>
  </si>
  <si>
    <t>body fat condition; blubber lipid content; blubber thickness; mass stranding; Physeter macrocephalus; sperm whale; Australia; southern ocean</t>
  </si>
  <si>
    <t>PORPOISES PHOCOENA-PHOCOENA; ANTARCTIC FUR SEALS; HARBOR PORPOISES; NORTH-ATLANTIC; BALAENOPTERA-PHYSALUS; 1994/1995 WINTER; FIN WHALES; BLUBBER; REPRODUCTION; STRATIFICATION</t>
  </si>
  <si>
    <t>Blubber thickness (n=102) and lipid content (n=37) were measured in sperm whales from three mass stranding events on the west and north-west coasts of Tasmania, Australia in February 1998. Blubber thickness was highly variable, ranging from 43.0 to 168.0 mm (mean 98.4+/-18.4 mm) while lipid fat content, also highly variable, ranged from 16.19 to 89.34% (mean 49.2+/-17.9%). Blubber thickness was significantly and positively related to total length, but a blubber thickness index based on the residuals of this relationship was not related to age, sex or reproductive condition. No relationship was found between blubber thickness index and blubber lipid content, indicating that blubber thickness may not provide a comprehensive indication of body fat condition in sperm whales when only measured at a single site. Blubber lipid content was not related to total length, age or sex. Blubber lipid content was stratified vertically throughout the blubber layer, suggesting that the inner blubber layer may be a more active site for lipid deposition and mobilisation, while the outer blubber layer may serve in a structural or thermoregulatory role. The social structure and foraging ecology of this species may serve to minimise the need to rely on stored energy reserves to meet reproductive energy requirements. In addition, the broader role of blubber for structural, buoyancy and insulative functions coupled with high individual variability may cause a lack of obvious relationships between these variables and body size, age, sex and reproductive state in this species. (C) 2003 Elsevier Science Inc. All rights reserved.</t>
  </si>
  <si>
    <t>Univ Tasmania, Sch Zool, Antarctic Wildlife Res Unit, Hobart, Tas 7001, Australia; Deakin Univ, Dept Ecol &amp; Environm, Warrnambool, Vic 3280, Australia</t>
  </si>
  <si>
    <t>University of Tasmania; Deakin University</t>
  </si>
  <si>
    <t>Evans, K (corresponding author), CSIRO Marine Res, GPO Box 1358, Hobart, Tas 7001, Australia.</t>
  </si>
  <si>
    <t>karen.evans@csiro.au</t>
  </si>
  <si>
    <t>Hindell, Mark A/C-8368-2013; evans, karen/D-7110-2012; Hindell, Mark A/K-1131-2013</t>
  </si>
  <si>
    <t>Evans, Karen/0000-0003-2205-4264; Hindell, Mark/0000-0002-7823-7185</t>
  </si>
  <si>
    <t>10.1016/S1095-6433(03)00045-X</t>
  </si>
  <si>
    <t>666MA</t>
  </si>
  <si>
    <t>WOS:000182180000017</t>
  </si>
  <si>
    <t>Winnard, P; Cashon, RE; Sidell, BD; Vayda, ME</t>
  </si>
  <si>
    <t>Isolation, characterization and nucleotide sequence of the muscle isoforms of creatine kinase from the Antarctic teleost Chaenocephalus aceratus</t>
  </si>
  <si>
    <t>Antarctic; Chaenocephalus aceratus; creatine kinase; icefish; myotomal muscle; notothenidae; channichthyidae temperature adaptation; teleost; polar</t>
  </si>
  <si>
    <t>HIGH-TEMPERATURES; FISH; DEHYDROGENASE; ISOENZYMES; ISOZYMES; SYSTEMS; PROTEIN; PH; PURIFICATION; SENSITIVITY</t>
  </si>
  <si>
    <t>Creatine kinase (CK) was isolated from the white muscle of the Antarctic icefish Chaenocephalus aceratus, which is deficient in glycolytic capacity. C. aceratus white myotomal creatine kinase (MMCK) displayed an apparent K-m at 0.5 degreesC of 0.06 mM for ADP and 17 mM for Phosphocreatine. These K,, values are similar to those reported for other vertebrate MMCKs at their physiologically relevant body temperatures. C. aceratus MMCK exhibited optimal activity at pH of 7.6-7.7 at 0.5 degreesC, in contrast to rabbit MMCK which had optimum activity at pH 6.2 at 30 degreesC. The apparent V-max of C aceratus MMCK at 0.5 degreesC is 94 +/- 4 S.D. (n=9) mumol ATP/min/mg (i.e. U/mg), which is comparable to rabbit MMCK assayed at 20 degreesC and 8-fold greater than rabbit MMCK measured at 0.5 degreesC. DEAE chromatography of C. aceratus white muscle CK resolved two distinct activity peaks. Cloning and sequencing of C. aceratus CK cDNAs confirmed that two muscle-specific isoforms of CK were expressed that were distinct from the mitochondrial and brain isoforms. Icefish MMCK was sensitive to transient temperature elevation, and the DEAE-fractionated forms; were highly unstable. These results indicate that C. aceratus MMCK displays significant activity at physiological temperature and intracellular pH of icefish muscle that could contribute to sustaining energy charge during burst-swimming. (C) 2003 Elsevier Science Inc. All rights reserved.</t>
  </si>
  <si>
    <t>Univ Maine, Sch Marine Sci, Dept biochem Microbiol &amp; Mol Biol, Orono, ME 04469 USA</t>
  </si>
  <si>
    <t>Univ Maine, Sch Marine Sci, Dept biochem Microbiol &amp; Mol Biol, 5735 Hitchner Hall, Orono, ME 04469 USA.</t>
  </si>
  <si>
    <t>vayda@maine.edu</t>
  </si>
  <si>
    <t>10.1016/S1096-4959(03)00025-3</t>
  </si>
  <si>
    <t>665XV</t>
  </si>
  <si>
    <t>WOS:000182147300010</t>
  </si>
  <si>
    <t>Stilwell, JD; Zinsmeister, WJ</t>
  </si>
  <si>
    <t>A new gastropod mollusc, Antarctissitys austrodema gen. et sp nov., from the upper Maastrichtian of Antarctica and its evolutionary significance</t>
  </si>
  <si>
    <t>CRETACEOUS RESEARCH</t>
  </si>
  <si>
    <t>mollusca; gastropoda; Perissityidae; Maastrichtian; Cretaceous; Antarctica</t>
  </si>
  <si>
    <t>SEYMOUR-ISLAND</t>
  </si>
  <si>
    <t>The Maastrichtian Lopez de Bertodano Formation of Seymour Island, Antarctic Peninsula, hosts the most diverse assemblage of Late Cretaceous molluscs from the continent. Described here is a new genus and species of gastropod, Antarctissitys austrodema gen. et sp. nov., from the upper units of the formation, which are inferred to represent a mid-shelf elastic environment. Antarctissitys austrodema is assignable to the Perissityidae (Muricoidea) and is the first confirmed record of this family in the Southern Hemisphere, indicating a much more widespread Cretaceous geographic distribution. Fusus dusenianus Wilckens from the Upper Cretaceous of Patagonia and Perissitys? sp. from the Maastrichtian of New Zealand may also belong in Perissityidae, but preservational deficiencies prevent any firm assessment. The affinities of Antarctissitys gen. nov. lie with a diverse suite of perissityid taxa in the Upper Cretaceous of North America, belonging predominantly to Perissitys. (C) 2003 Published by Elsevier Ltd.</t>
  </si>
  <si>
    <t>James Cook Univ N Queensland, Sch Earth Sci, Townsville, Qld 4811, Australia; Monash Univ, Sch Geosci, Melbourne, Vic 3800, Australia; Australian Museum, Ctr Evolut Res, Sydney, NSW 2000, Australia; Purdue Univ, Dept Earth &amp; Atmospher Sci, W Lafayette, IN 47907 USA</t>
  </si>
  <si>
    <t>James Cook University; Monash University; Australian Museum; Purdue University System; Purdue University</t>
  </si>
  <si>
    <t>Stilwell, JD (corresponding author), James Cook Univ N Queensland, Sch Earth Sci, Townsville, Qld 4811, Australia.</t>
  </si>
  <si>
    <t>0195-6671</t>
  </si>
  <si>
    <t>CRETACEOUS RES</t>
  </si>
  <si>
    <t>Cretac. Res.</t>
  </si>
  <si>
    <t>10.1016/S0195-6671(03)00035-1</t>
  </si>
  <si>
    <t>Geology; Paleontology</t>
  </si>
  <si>
    <t>709DG</t>
  </si>
  <si>
    <t>WOS:000184609000003</t>
  </si>
  <si>
    <t>Gasparini, Z; Salgado, L; Casadio, S</t>
  </si>
  <si>
    <t>Maastrichtian plesiosaurs from northern Patagonia</t>
  </si>
  <si>
    <t>plesiosauria; Elasmosauridae; Maastrichtian; Patagonia; Argentina</t>
  </si>
  <si>
    <t>REPTILES; BASINS</t>
  </si>
  <si>
    <t>Three relatively complete elasmosaurid plesiosaurs were recently recovered from the north of Patagonia, Argentina. They were found in the uppermost levels of the Jaguel Formation (upper Maastrichtian). One of the specimens was found only 0.3 m below the Cretaceous/Paleogene boundary, this being the youngest record of a Mesozoic reptile in Patagonia. Two specimens are referred to cf. Mauisaurus sp. and the other to Tuarangisaurus? cabazai sp. nov. This study has revealed that some character states, previously regarded as mere ontogenetic variations, could be taxonomically valid. Comparison of the Upper Cretaceous elasmosaurids of Patagonia with those from the Upper Cretaceous of central Chile, the northeastern islands of the Antarctic Peninsula, and New Zealand reinforce the hypothesis of a south Gondwanan distribution for some pelagic reptiles. (C) 2003 Published by Elsevier Ltd.</t>
  </si>
  <si>
    <t>Natl Univ La Plata, Dpto Paleontol Vertebrados, Museo La Plata, RA-1900 La Plata, BA, Argentina; Univ Nacl Comahue, Museo Geol &amp; Paleontol, RA-8300 Buenos Aires, DF, Argentina; Univ Nacl La Pampa, RA-6300 La Pampa, Argentina</t>
  </si>
  <si>
    <t>National University of La Plata; Museo La Plata; Universidad Nacional del Comahue</t>
  </si>
  <si>
    <t>Gasparini, Z (corresponding author), Natl Univ La Plata, Dpto Paleontol Vertebrados, Museo La Plata, Paseo Bosque S-N, RA-1900 La Plata, BA, Argentina.</t>
  </si>
  <si>
    <t>Casadio, Silvio/A-5131-2010</t>
  </si>
  <si>
    <t>10.1016/S0195-6671(03)00036-3</t>
  </si>
  <si>
    <t>WOS:000184609000009</t>
  </si>
  <si>
    <t>Raymond, JA; Knight, CA</t>
  </si>
  <si>
    <t>Ice binding, recrystallization inhibition, and cryoprotective properties of ice-active substances associated with Antarctic sea ice diatoms</t>
  </si>
  <si>
    <t>ice-active substance; diatom; sea ice; cryoprotection; recrystallization inhibition; ice binding; ice hemisphere</t>
  </si>
  <si>
    <t>THERMAL HYSTERESIS PROTEIN; ANTIFREEZE PROTEIN; PLANT; CRYOPRESERVATION; GROWTH</t>
  </si>
  <si>
    <t>Extracellular macromolecules associated with Antarctic sea ice diatoms were previously shown to have ice-binding activities. The function of these ice-active substances (IASs) has not been identified. Here we show that two of the IASs have a strong ability to inhibit the recrystallization of ice, possibly signifying a cryoprotectant function. To test this possibility, two species of marine diatom (one Antarctic and one temperate) were subjected to a single freeze-thaw cycle (approximately 20 h at -4 to -5 degreesC) in the presence or absence of IAS. Viability, based on a double staining technique, was 15-29% higher in the presence of IAS. Etching of single crystal ice hemispheres grown from dilute IAS solutions indicated that the IASs bind to specific faces of ice and are incorporated into the ice lattice. Together, these results suggest that the IASs acts as a cryoprotectant, probably through some ice-binding mechanism. (C) 2003 Elsevier Science (USA). All rights reserved.</t>
  </si>
  <si>
    <t>Univ Nevada, Dept Biol Sci, Las Vegas, NV 89154 USA; Natl Ctr Atmospher Res, Boulder, CO 80307 USA</t>
  </si>
  <si>
    <t>Nevada System of Higher Education (NSHE); University of Nevada Las Vegas; National Center Atmospheric Research (NCAR) - USA</t>
  </si>
  <si>
    <t>Raymond, JA (corresponding author), Univ Nevada, Dept Biol Sci, 4505 Maryland Pkwy S, Las Vegas, NV 89154 USA.</t>
  </si>
  <si>
    <t>raymond@univ.edu</t>
  </si>
  <si>
    <t>10.1016/S0011-2240(03)00023-3</t>
  </si>
  <si>
    <t>671DD</t>
  </si>
  <si>
    <t>WOS:000182449300007</t>
  </si>
  <si>
    <t>de los Ríos, A; Wierzchos, J; Sancho, LG; Ascaso, C</t>
  </si>
  <si>
    <t>Acid microenvironments in microbial biofilms of Antarctic endolithic microecosystems</t>
  </si>
  <si>
    <t>BIOWEATHERED GRANITIC BIOTITE; MICROORGANISMS; LICHENS; DESERT; DIVERSITY</t>
  </si>
  <si>
    <t>Antarctic endolithic microecosystems harbour distinct biofilms. The lithic substrate and the microorganisms comprising these films are intimately linked, leading to complex mineral-microbe interactions. Hence, the microhabitats and microenvironments of these microecosystems are not only determined by the physicochemical features of the lithic substrate, but are also conditioned by the biological components of these biofilms. The Antarctic biofilms analysed in this study are characterized by the presence of extracellular polymer substances and acid microenvironments in the proximity of the cells; cyanobacteria appearing as key components. On ultrastructural analysis, these endolithic cyanobacteria showed differences in sheath organization, probably related to their spatial position in the lithic substrate. It is proposed that in this type of ecosystem, biofilm structure could favour the formation of microsites with specific physicochemical conditions appropriate for the survival of microbial communities in this extreme environment.</t>
  </si>
  <si>
    <t>CSIC, Ctr Ciencias Medioambientales, E-28006 Madrid, Spain; Univ Lleida, Serv Microscopia Elect, Lleida 25198, Spain; Univ Complutense Madrid, Dept Biol Vegetal 2, E-28040 Madrid, Spain</t>
  </si>
  <si>
    <t>Consejo Superior de Investigaciones Cientificas (CSIC); CSIC - Centro de Ciencias Medioambientales (CCMA); Universitat de Lleida; Complutense University of Madrid</t>
  </si>
  <si>
    <t>CSIC, Ctr Ciencias Medioambientales, 115 Dpdo, E-28006 Madrid, Spain.</t>
  </si>
  <si>
    <t>arios@ccma.csic.es</t>
  </si>
  <si>
    <t>Sancho, leopoldo G./H-2974-2013; de los Rios, Asuncion/L-3694-2014; Ascaso, Carmen/F-5369-2011; SANCHO, LEOPOLDO/G-9120-2015; Wierzchos, Jacek/F-7036-2011</t>
  </si>
  <si>
    <t>de los Rios, Asuncion/0000-0002-0266-3516; Ascaso, Carmen/0000-0001-9665-193X; SANCHO, LEOPOLDO/0000-0002-4751-7475; Wierzchos, Jacek/0000-0003-3084-3837</t>
  </si>
  <si>
    <t>1462-2920</t>
  </si>
  <si>
    <t>660XY</t>
  </si>
  <si>
    <t>WOS:000181861500002</t>
  </si>
  <si>
    <t>Bakermans, C; Tsapin, AI; Souza-Egipsy, V; Gilichinsky, DA; Nealson, KH</t>
  </si>
  <si>
    <t>Reproduction and metabolism at-10°C of bacteria isolated from Siberian permafrost</t>
  </si>
  <si>
    <t>ANTARCTIC SEA-ICE; 16S RDNA; FREEZING-POINT; DIVERSITY; RESISTANCE; LIFE</t>
  </si>
  <si>
    <t>We report the isolation and properties of several species of bacteria from Siberian permafrost. Half of the isolates were spore-forming bacteria unable to grow or metabolize at subzero temperatures. Other Gram-positive isolates metabolized, but never exhibited any growth at - 10degreesC. One Gram-negative isolate metabolized and grew at - 10degreesC, with a measured doubling time of 39 days. Metabolic studies of several isolates suggested that as temperature decreased below + 4degreesC, the partitioning of energy changes with much more energy being used for cell maintenance as the temperature decreases. In addition, cells grown at - 10degreesC exhibited major morphological changes at the ultrastructural level.</t>
  </si>
  <si>
    <t>Univ So Calif, Dept Earth Sci, Los Angeles, CA 90089 USA; NASA, Jet Prop Lab, Pasadena, CA 91109 USA; Russian Acad Sci, Inst Physicochem &amp; Biol Problems Soil Sci, Pushchino 142290, Moscow Region, Russia</t>
  </si>
  <si>
    <t>University of Southern California; National Aeronautics &amp; Space Administration (NASA); NASA Jet Propulsion Laboratory (JPL); Russian Academy of Sciences; Pushchino Scientific Center for Biological Research (PSCBI) of the Russian Academy of Sciences; Institute of Physicohemical &amp; Biological Problems of Soil Science</t>
  </si>
  <si>
    <t>Nealson, KH (corresponding author), Univ So Calif, Dept Earth Sci, 3651 Trousdale Pkwy, Los Angeles, CA 90089 USA.</t>
  </si>
  <si>
    <t>knealson@usc.edu</t>
  </si>
  <si>
    <t>; Souza-Egipsy, Virginia/L-8389-2014</t>
  </si>
  <si>
    <t>Bakermans, Corien/0000-0002-3471-2570; Souza-Egipsy, Virginia/0000-0002-9690-9889</t>
  </si>
  <si>
    <t>10.1046/j.1462-2920.2003.00419.x</t>
  </si>
  <si>
    <t>WOS:000181861500011</t>
  </si>
  <si>
    <t>Harding, MM; Anderberg, PI; Haymet, ADJ</t>
  </si>
  <si>
    <t>'Antifreeze' glycoproteins from polar fish</t>
  </si>
  <si>
    <t>EUROPEAN JOURNAL OF BIOCHEMISTRY</t>
  </si>
  <si>
    <t>antifreeze; ice; hysteresis; glycoproteins; ice/water interface; fish; glycosylation</t>
  </si>
  <si>
    <t>SOLID-PHASE SYNTHESIS; POINT-DEPRESSING GLYCOPROTEINS; THERMAL HYSTERESIS PROTEINS; WINTER FLOUNDER ANTIFREEZE; ANTARCTIC FISH; MOLECULAR-WEIGHT; ICE GROWTH; FREEZING RESISTANCE; SOLUTION CONFORMATION; PHYSICAL-PROPERTIES</t>
  </si>
  <si>
    <t>Antifreeze glycoproteins (AFGPs) constitute the major fraction of protein in the blood serum of Antarctic notothenioids and Arctic cod. Each AFGP consists of a varying number of repeating units of (Ala-Ala-Thr) (n), with minor sequence variations, and the disaccharide beta-d-galactosyl-(1--&gt;3)-alpha-N-acetyl-d-galactosamine joined as a glycoside to the hydroxyl oxygen of the Thr residues. These compounds allow the fish to survive in subzero ice-laden polar oceans by kinetically depressing the temperature at which ice grows in a noncolligative manner. In contrast to the more widely studied antifreeze proteins, little is known about the mechanism of ice growth inhibition by AFGPs, and there is no definitive model that explains their properties. This review summarizes the structural and physical properties of AFGPs and advances in the last decade that now provide opportunities for further research in this field. High field NMR spectroscopy and molecular dynamics studies have shown that AFGPs are largely unstructured in aqueous solution. While standard carbohydrate degradation studies confirm the requirement of some of the sugar hydroxyls for antifreeze activity, the importance of following structural elements has not been established: (a) the number of hydroxyls required, (b) the stereochemistry of the sugar hydroxyls (i.e. the requirement of galactose as the sugar), (c) the acetamido group on the first galactose sugar, (d) the stereochemistry of the beta-glycosidic linkage between the two sugars and the alpha-glycosidic linkage to Thr, (e) the requirement of a disaccharide for activity, and (f) the Ala and Thr residues in the polypeptide backbone. The recent successful synthesis of small AFGPs using solution methods and solid-phase chemistry provides the opportunity to perform key structure-activity studies that would clarify the important residues and functional groups required for activity. Genetic studies have shown that the AFGPs present in the two geographically and phylogenetically distinct Antarctic notothenioids and Arctic cod have evolved independently, in a rare example of convergent molecular evolution. The AFGPs exhibit concentration dependent thermal hysteresis with maximum hysteresis (1.2 degreesC at 40 mg.mL(-1)) observed with the higher molecular mass glycoproteins. The ability to modify the rate and shape of crystal growth and protect cellular membranes during lipid-phase transitions have resulted in identification of a number of potential applications of AFGPs as food additives, and in the cryopreservation and hypothermal storage of cells and tissues.</t>
  </si>
  <si>
    <t>Univ Sydney, Sch Chem, Sydney, NSW 2006, Australia; CSIRO Marine Res, Hobart, Tas, Australia</t>
  </si>
  <si>
    <t>University of Sydney; Commonwealth Scientific &amp; Industrial Research Organisation (CSIRO)</t>
  </si>
  <si>
    <t>Univ Sydney, Sch Chem, Sydney, NSW 2006, Australia.</t>
  </si>
  <si>
    <t>harding@chem.usyd.edu.au</t>
  </si>
  <si>
    <t>Haymet, Anthony/A-9881-2009</t>
  </si>
  <si>
    <t>Haymet, Anthony/0000-0002-5617-2106; Harding, Margaret/0000-0003-1072-3870</t>
  </si>
  <si>
    <t>0014-2956</t>
  </si>
  <si>
    <t>EUR J BIOCHEM</t>
  </si>
  <si>
    <t>Eur. J. Biochem.</t>
  </si>
  <si>
    <t>10.1046/j.1432-1033.2003.03488.x</t>
  </si>
  <si>
    <t>658UE</t>
  </si>
  <si>
    <t>WOS:000181738200002</t>
  </si>
  <si>
    <t>Jackson, GD; Pecl, G</t>
  </si>
  <si>
    <t>The dynamics of the summer-spawning population of the loliginid squid (Sepioteuthis australis) in Tasmania, Australia -: a conveyor belt of recruits</t>
  </si>
  <si>
    <t>squid spawning; reproduction; age; statoliths; loliginidae; cohorts; population dynamics</t>
  </si>
  <si>
    <t>FLEXIBLE REPRODUCTIVE STRATEGIES; VULGARIS-REYNAUDII CEPHALOPODA; SOUTH-EAST COAST; FINNED SQUID; NEW-ZEALAND; AFRICA; GROWTH; OMMASTREPHIDAE; GROUNDS; MYOPSIDA</t>
  </si>
  <si>
    <t>The population dynamics of the loliginid squid Sepioteuthis australis was examined on a fine temporal scale during a 2-month period of rising sea-surface temperatures on the summer inshore spawning grounds of Coles Bay, Tasmania, Australia. Samples were taken regularly (generally weekly) to discern any short-term population changes in age, growth or reproductive parameters. There was no change in the mean age, mantle length or weight of males or females through the study period (November and December 1996). This indicated that instead of following one or a few discrete cohorts of spawning individuals, there were continuous waves of new individuals moving onto the spawning beds, which may be best described by a conveyer belt of new recruits. There was an abrupt and significant difference in the mean oviduct egg size in females caught between November and December but the factors responsible for this remain unknown. Few squid showed evidence of recent feeding, suggesting that they move off the spawning grounds to feed. (C) 2003 International Council for the Exploration of the Sea. Published by Elsevier Science Ltd. All rights reserved.</t>
  </si>
  <si>
    <t>Univ Tasmania, Inst Antarctic &amp; So Ocean Studies, Hobart, Tas 7001, Australia; Univ Tasmania, Tasmanian Aquaculture &amp; Fisheries Inst, Marine Res Labs, Hobart, Tas 7053, Australia</t>
  </si>
  <si>
    <t>University of Tasmania; University of Tasmania</t>
  </si>
  <si>
    <t>gretta.pecl@utas.edu.au; george.jackson@utas.edu.au</t>
  </si>
  <si>
    <t>Pecl, Gretta/D-7267-2011; Jackson, George D/AAI-7315-2021</t>
  </si>
  <si>
    <t>Pecl, Gretta/0000-0003-0192-4339;</t>
  </si>
  <si>
    <t>10.1016/S1054-3139(03)00007-9</t>
  </si>
  <si>
    <t>805DN</t>
  </si>
  <si>
    <t>WOS:000220347100010</t>
  </si>
  <si>
    <t>Reconciling theoretical versus empirical target strengths of krill: effects of phase variability on the distorted-wave Born approximation</t>
  </si>
  <si>
    <t>phase variability; krill; target strength</t>
  </si>
  <si>
    <t>ANTARCTIC KRILL; EUPHAUSIA-SUPERBA; SOUND-SCATTERING; ZOOPLANKTON</t>
  </si>
  <si>
    <t>A model was recently proposed to predict the target strengths (TS) of Antarctic krill, Euphausia superba, versus incidence angle (theta) (Deep Sea Res. 1145(7) (1998) 1273). Based on the distorted-wave Born approximation (DWBA), the model depends on the coherent summation of scattering from elements of a discretized-bent cylinder. It was empirically validated at 120 kHz near-broadside incidence (theta approximate to 90degrees), but large discrepancies were observed at other angles away from the main lobe. As the side-lobe measurements were both higher than the model predictions and above the noise floor, the authors noted that the differences were not entirely due to noise. In this study, the accuracy of the DWBA model is further explored. Results indicate that phase variability in the scatter from elements of a discretized-bent cylinder (krill model) causes a dramatic flattening in the side-lobe regions of TS(theta), while negligibly affecting the main scattering lobe. These results are consistent with the krill TS measurements reported by McGehee et al. Thus, by accounting for phase variability in the solution of the DWBA model, a more accurate and thus practical tool is developed for predicting krill TS. (C) 2003 International Council for the Exploration of the Sea. Published by Elsevier Science Ltd. All rights reserved.</t>
  </si>
  <si>
    <t>david.demer@noaa.gov</t>
  </si>
  <si>
    <t>10.1016/S1054-3139(03)00002-X</t>
  </si>
  <si>
    <t>WOS:000220347100023</t>
  </si>
  <si>
    <t>Leu, MT</t>
  </si>
  <si>
    <t>Laboratory studies of interaction between trace gases and sulphuric acid or sulphate aerosols using flow-tube reactors</t>
  </si>
  <si>
    <t>INTERNATIONAL REVIEWS IN PHYSICAL CHEMISTRY</t>
  </si>
  <si>
    <t>METASTABILITY PHASE-DIAGRAMS; HETEROGENEOUS REACTIONS; UPPER TROPOSPHERE; PEROXYACETYL NITRATE; HYDROGEN-CHLORIDE; HENRYS LAW; STRATOSPHERIC TEMPERATURES; ANTARCTIC STRATOSPHERE; DIFFUSION-COEFFICIENTS; REACTION PROBABILITIES</t>
  </si>
  <si>
    <t>Stratospheric ozone provides a protective shield for humanity and the global biosphere from harmful ultraviolet solar radiation. In past decades, theoretical models for the calculation of ozone balance frequently used gas-phase reactions alone in their studies. Since the discovery of the Antarctic ozone hole in 1985, however, it has been demonstrated that knowledge of heterogeneous reactions is needed to understand this significant natural event owing to the anthropogenic emission of chlorofluorocarbons. In this review I will briefly discuss the experimental techniques for the research of heterogeneous chemistry carried out in our laboratory. These experimental instruments include flow-tube reactors, an electron-impact ionization mass spectrometer, a chemical ionization mass spectrometer and a scanning mobility particle spectrometer. Numerous measurements of uptake coefficient (or reaction probability) and solubility of trace gases in liquid sulphuric acid have been performed under the ambient conditions in the upper troposphere and lower stratosphere, mainly 190-250 K and 40-80 wt% of H2SO4. The trace gases of atmospheric importance include N2O5, ClONO2, HCl, HOCl, HNO3, HONO, HO2NO2, CH3CO(O-2)NO2, CH3COCH3, CH3OH, and C2H5OH. In addition, the freezing phenomena of H2SO4, the thermodynamics of sulphuric acid monohydrate and the hydrolysis of N2O5 on sulphate aerosols will be briefly discussed.</t>
  </si>
  <si>
    <t>CALTECH, Jet Prop Lab, Div Earth &amp; Space Sci, Pasadena, CA 91109 USA</t>
  </si>
  <si>
    <t>National Aeronautics &amp; Space Administration (NASA); NASA Jet Propulsion Laboratory (JPL); California Institute of Technology</t>
  </si>
  <si>
    <t>CALTECH, Jet Prop Lab, Div Earth &amp; Space Sci, Pasadena, CA 91109 USA.</t>
  </si>
  <si>
    <t>0144-235X</t>
  </si>
  <si>
    <t>1366-591X</t>
  </si>
  <si>
    <t>INT REV PHYS CHEM</t>
  </si>
  <si>
    <t>Int. Rev. Phys. Chem.</t>
  </si>
  <si>
    <t>APR-JUN</t>
  </si>
  <si>
    <t>10.1080/0144235031000087282</t>
  </si>
  <si>
    <t>678CD</t>
  </si>
  <si>
    <t>WOS:000182846700004</t>
  </si>
  <si>
    <t>Lawrence, AR; Jarvis, MJ</t>
  </si>
  <si>
    <t>Simultaneous observations of planetary waves from 30 to 220 km</t>
  </si>
  <si>
    <t>planetary waves; antarctica; middle atmosphere; thermosphere</t>
  </si>
  <si>
    <t>THERMOSPHERE-IONOSPHERE SYSTEM; SOUTHERN WINTER TROPOSPHERE; SPORADIC-E; STRATOSPHERE; ANTARCTICA; MESOSPHERE; DYNASONDE; RADAR; OSCILLATIONS; HALLEY</t>
  </si>
  <si>
    <t>Planetary wave activity at quasi 16-, 10- and 5-day periods has been compared at various altitudes through the middle and upper atmosphere over Halley (76degreesS, 27degreesW), Antarctica, during the austral winters of 1997-1999. Observational data from the mesosphere, E-region ionosphere and F-region ionosphere have been combined with stratospheric data from the ECMWF assimilative operational analysis. Fourier and wavelet techniques have shown that the relationship between planetary wave activity at different altitudes is complex and during the winter eastward wind regime does not conform to a simple combination of vertical planetary wave propagation and critical filtering. Strong planetary wave activity in the stratosphere can coincide with a complete lack of wave activity at higher altitudes; conversely, there are also times when planetary wave activity in the mesosphere, E-region or F-region has no apparent link to activity in the stratosphere. The latitudinal activity pattern of stratospheric data tentatively suggests that when the stratospheric signatures are intense over a wide range of latitudes, propagation of planetary waves into the mesosphere is less likely than when the stratospheric activity is more latitudinally restricted. It is possible that, on at least one occasion, 16-day planetary wave activity in the mesosphere may have been ducted to high latitudes from the lower latitude stratosphere. The most consistent feature is that planetary wave activity in the mesosphere is almost always anti-correlated to planetary wave activity in the E-region even though the two are in close physical proximity. The oscillatory critical filtering of vertical gravity wave propagation by planetary waves and the re-generation of the planetary wave component at higher altitudes through subsequent critical filtering or breaking of the gravity waves may provide an explanation for some of these characteristics. Alternatively the nonlinear interaction between planetary waves and tides, indicated in the E-region data, may play a role. (C) 2003 Elsevier Science Ltd. All rights reserved.</t>
  </si>
  <si>
    <t>British Antarctic Survey, Nat Environm Res Council, Cambridge CB3 0ET, England; Univ Cambridge, Cambridge CB2 1TN, England</t>
  </si>
  <si>
    <t>Lawrence, AR (corresponding author), British Antarctic Survey, Nat Environm Res Council, Madingley Rd, Cambridge CB3 0ET, England.</t>
  </si>
  <si>
    <t>10.1016/S1364-6826(03)00081-6</t>
  </si>
  <si>
    <t>687CR</t>
  </si>
  <si>
    <t>WOS:000183358700012</t>
  </si>
  <si>
    <t>Xu, Y; Feller, G; Gerday, C; Glansdorff, N</t>
  </si>
  <si>
    <t>Metabolic enzymes from psychrophilic bacteria:: Challenge of adaptation to low temperatures in ornithine carbamoyltransferase from Moritella abyssi</t>
  </si>
  <si>
    <t>CRYSTAL-STRUCTURE; COLD ADAPTATION; ANTARCTIC BACTERIUM; PSEUDOALTEROMONAS-HALOPLANKTIS; BIOCHEMICAL-CHARACTERIZATION; THERMODYNAMIC STABILITY; ALPHA-AMYLASE; TRANSCARBAMOYLASE; ARGININE; PURIFICATION</t>
  </si>
  <si>
    <t>The enzyme ornithine carbamoyltransferase (OTCase) of Motitella abyssi (OTCase(Mab)), a new, strictly psychrophilic and piezophilic bacterial species, was purified. OTCase(Mab) displays maximal activity at rather low temperatures (23 to 25degreesC) compared to other cold-active enzymes and is much less thermoresistant than its homologues from Escherichia coli or thermophilic procaryotes. In vitro the enzyme is in equilibrium between a trimeric state and a dodecameric, more stable state. The melting point and denaturation enthalpy changes for the two forms are considerably lower than the corresponding values for the dodecameric Pyrococcus furiosus OTCase and for a thermolabile trimeric mutant thereof. OTCase(Mab) displays higher K-m values for ornithine and carbamoyl phosphate than mesophilic and thermophilic OTCases and is only weakly inhibited by the bisubstrate analogue delta-N-phosphonoacetyl-L-ornithine (PALO). OTCase(Mab) differs from other, nonpsychrophilic OTCases by substitutions in the most conserved motifs, which probably contribute to the comparatively high K-m values and the lower sensitivity to PALO. The K. for ornithine, however, is substantially lower at low temperatures. A survey of the catalytic efficiencies (k(cat)/K-m) of OTCases adapted to different temperatures showed that OTCase(Mab) activity remains suboptimal at low temperature despite the 4.5-fold decrease in the K-m value for ornithine observed when the temperature is brought from 20 to 5degreesC. OTCase(Mab) adaptation to cold indicates a trade-off between affinity and catalytic velocity, suggesting that optimization of key metabolic enzymes at low temperatures may be constrained by natural limits.</t>
  </si>
  <si>
    <t>Free Univ Brussels, JM Wiame Res Inst, VUB, B-1070 Brussels, Belgium; Univ Liege, Inst Chem B6, Biochem Lab, B-4000 Liege, Belgium</t>
  </si>
  <si>
    <t>Vrije Universiteit Brussel; Universite Libre de Bruxelles; University of Liege</t>
  </si>
  <si>
    <t>Free Univ Brussels, JM Wiame Res Inst, VUB, 1 Ave E Gryson, B-1070 Brussels, Belgium.</t>
  </si>
  <si>
    <t>xuying@vub.ac.be</t>
  </si>
  <si>
    <t>10.1128/JB.185.7.2161-2168.2003</t>
  </si>
  <si>
    <t>658CH</t>
  </si>
  <si>
    <t>WOS:000181703700011</t>
  </si>
  <si>
    <t>Torinesi, O; Fily, M; Genthon, C</t>
  </si>
  <si>
    <t>Variability and trends of the summer melt period of Antarctic ice margins since 1980 from microwave sensors</t>
  </si>
  <si>
    <t>SEA-ICE; SURFACE TEMPERATURES; CLIMATE VARIABILITY; CIRCUMPOLAR WAVE; IN-SITU; EXTENT; SHEET; MODEL</t>
  </si>
  <si>
    <t>The density and range of observations made by meteorological stations is insufficient to fully characterize decadal climate variability in Antarctica. Satellite-borne instruments, which offer a high spatial and temporal density of information, can contribute complementary data for characterizing Antarctic climate change. Here, partial melting of Antarctic snow, which significantly affects the microwave emissivity of the surface, is identified and counted over 18 yr in the 20-yr period 1980-99. The cumulated product of the surface area affected by melting and the duration of the melting event, called cumulative melting surface (CMS), is one of the three melt indices defined and discussed here. On average over the last 20 yr, the Antarctic CMS has decreased by 1.8%+/-1% yr(-1), a result that is consistent with a mean January cooling of the continent recently identified from infrared satellite data. In addition, the interannual signatures of the Antarctic Oscillation, and possibly of the Southern Oscillation, are found in the melt indices.</t>
  </si>
  <si>
    <t>Univ Grenoble 1, CNRS, LGGE, F-38402 St Martin Dheres, France</t>
  </si>
  <si>
    <t>Communaute Universite Grenoble Alpes; Universite Grenoble Alpes (UGA); Centre National de la Recherche Scientifique (CNRS)</t>
  </si>
  <si>
    <t>Univ Grenoble 1, CNRS, LGGE, BP96, F-38402 St Martin Dheres, France.</t>
  </si>
  <si>
    <t>fily@lgge.obs.ujf-grenoble.fr</t>
  </si>
  <si>
    <t>10.1175/1520-0442(2003)016&lt;1047:VATOTS&gt;2.0.CO;2</t>
  </si>
  <si>
    <t>658JP</t>
  </si>
  <si>
    <t>WOS:000181718100003</t>
  </si>
  <si>
    <t>Pezza, AB; Ambrizzi, T</t>
  </si>
  <si>
    <t>Variability of Southern Hemisphere cyclone and anticyclone behavior: Further analysis</t>
  </si>
  <si>
    <t>NCEP-NCAR REANALYSIS; NORTHERN-HEMISPHERE; NUMERICAL SCHEME; DIGITAL DATA; EL-NINO; PART-I; CLIMATOLOGY; CENTERS; TRACKS; ANOMALIES</t>
  </si>
  <si>
    <t>This paper presents some additional results on the use of an automatic scheme for tracking surface cyclones and anticyclones. The Southern Hemisphere (SH) total amount of synoptic tracks (every 12 h) was analyzed for the 1973-96 period using sea level pressure from the National Centers for Environmental Prediction-National Center for Atmospheric Research (NCEP-NCAR) reanalysis. Composites for seven El Nino (EN) and La Nina (LN) years were constructed in order to analyze the association between the hemispheric cyclone and anticyclone propagation and the phase of the El Nino-Southern Oscillation (ENSO) phenomenon. A climatological view of cyclone and anticyclone tracks and orphan centers superposed on the same map is presented and analyzed. A large area with overlapped cyclone and anticyclone tracks is seen between 30degrees and 60degreesS, which is approximately the climatological position of the SH transient activity. To the north of 30degreesS, the subtropical South Atlantic high is embedded in a region with just a few cyclone tracks. This feature is not evident for the Pacific and the Indian Oceans' high. The subtropical cyclones dominate most of the west Pacific and north of Australia. Orographic and heat lows are well spread over the tropical regions of South America and Africa. Finally, the storm track region appeared as a very marked feature around the Antarctic continent. In accordance with some previous studies, the total number of the SH cyclones and anticyclones during the austral winter season has shown an overall decline, particularly at the end of the 1970s. Nevertheless, a more complex behavior shows up when the weak systems are eliminated and the intense end of the spectrum is analyzed. For the anticyclone tracks above 1020 hPa, there is still some tendency toward an overall decline, but it is small and not statistically significant. For the stronger anticyclones this tendency rapidly disappears. On the other hand, the cyclone tracks presented a different behavior, since the decreasing trend turned into a significant increase for those stronger than 980 hPa. These results also emphasize how sensitive the tracking scheme is to capturing low and high pressure centers, and it presents another perspective for the interpretation of cyclone and anticyclone trends. The ENSO composites indicated a higher anticyclone concentration near the subtropical South Atlantic high during EN years, while in the subtropical South Pacific high it occurs during LN years. On the other hand, the cyclone tracks showed a higher variability, with an excess of lows over the subtropical Pacific, west of South America and southern Argentina during EN years and a more pronounced activity over the subtropical Atlantic and southeastern Australia during LN years. Nevertheless, the trends and the average of the total hemispheric number of cyclones and anticyclones are not significantly affected by the ENSO phase.</t>
  </si>
  <si>
    <t>Univ Sao Paulo, Dept Atmospher Sci, Inst Astron Geophys &amp; Atmospher Sci, BR-05508900 Sao Paulo, Brazil</t>
  </si>
  <si>
    <t>Pezza, AB (corresponding author), Univ Sao Paulo, Dept Atmospher Sci, Inst Astron Geophys &amp; Atmospher Sci, Rua Matao 1226, BR-05508900 Sao Paulo, Brazil.</t>
  </si>
  <si>
    <t>alepezza@model.iag.usp.br</t>
  </si>
  <si>
    <t>Ambrizzi, Tercio/A-4636-2008</t>
  </si>
  <si>
    <t>10.1175/1520-0442(2003)016&lt;1075:VOSHCA&gt;2.0.CO;2</t>
  </si>
  <si>
    <t>WOS:000181718100005</t>
  </si>
  <si>
    <t>Negoita, TG; Covaci, A; Gheorghe, A; Schepens, P</t>
  </si>
  <si>
    <t>Distribution of polychlorinated biphenyls (PCBs) and organochlorine pesticides in soils from the East Antarctic coast</t>
  </si>
  <si>
    <t>JOURNAL OF ENVIRONMENTAL MONITORING</t>
  </si>
  <si>
    <t>SOUTH-POLAR SKUA; CHLORINATED HYDROCARBONS; CATHARACTA-MACCORMICKI; CONTAMINATION; POLLUTANTS; SAMPLES; PENGUIN; SEA; POLYCHLOROBIPHENYLS; ENVIRONMENT</t>
  </si>
  <si>
    <t>Concentrations of hexachlorobenzene (HCB). alpha-, beta- and gamma-hexachlorocyclohexane (HCH) isomers, 6 o,p'- and p,p'-isomers of DDT and 28 PCB congeners hake been measured in eleven soil samples and one lichen collected on the Eastern coast of Antarctica from 5 Russian stations. For samples with low concentrations of PCBs (range 0.20-0.41 ng g(-1) dry weight) and pesticides (0.86-4.69 ng g(-1) and 0.11-1.22 ng g(-1) dry weight for HCHs and DDTs. respectively). atmospheric long-range transport from Africa. South America or Australia was suggested as the sole source of contamination. The profile of PCB congeners was dominated by the more volatile tri-, tetra- and penta-PCBs congeners, thus supporting long-range transport hypothesis. Four Samples contained moderate levels of PCBs (range 1.98-6.94 ng g(-1) dry freight) and variable concentrations of pesticides (gamma-HCH, p,p'-DDT and o,p'-DDT being the main contaminants), For samples with high concentrations of PCBs (range 90.26-157.45 ng g(-1)) and high concentrations of pesticides, the presence of high molecular freight PCB congeners such as: 153, 180, 187, 170 etc. strongly suggest a local source (biotic) of PCBs rather than atmospheric transport. It is likely that on a local scale, biotic focusing of pollutants, due to bird activities (nesting and excrement) can cause high contamination levels and become more significant than contaminant input via abiotic pathways.</t>
  </si>
  <si>
    <t>Univ Instelling Antwerp, Toxicol Ctr, B-2610 Wilrijk, Belgium; Romanian Polar Res Inst, Bucharest, Romania; Univ Bucharest, Dept Analyt Chem, Bucharest, Romania</t>
  </si>
  <si>
    <t>University of Antwerp; University of Bucharest</t>
  </si>
  <si>
    <t>Covaci, A (corresponding author), Univ Instelling Antwerp, Toxicol Ctr, Univ Pl 1, B-2610 Wilrijk, Belgium.</t>
  </si>
  <si>
    <t>Covaci, Adrian/A-9058-2008</t>
  </si>
  <si>
    <t>Covaci, Adrian/0000-0003-0527-1136</t>
  </si>
  <si>
    <t>1464-0325</t>
  </si>
  <si>
    <t>J ENVIRON MONITOR</t>
  </si>
  <si>
    <t>J. Environ. Monit.</t>
  </si>
  <si>
    <t>10.1039/b300555k</t>
  </si>
  <si>
    <t>Chemistry, Analytical; Environmental Sciences</t>
  </si>
  <si>
    <t>Chemistry; Environmental Sciences &amp; Ecology</t>
  </si>
  <si>
    <t>670DT</t>
  </si>
  <si>
    <t>WOS:000182392700024</t>
  </si>
  <si>
    <t>Barbante, C; Boutron, C; Morel, C; Ferrari, C; Jaffrezo, JL; Cozzi, G; Gaspari, V; Cescon, P</t>
  </si>
  <si>
    <t>Seasonal variations of heavy metals in central Greenland snow deposited from 1991 to 1995</t>
  </si>
  <si>
    <t>BIOMASS BURNING SIGNATURES; PLASMA-MASS SPECTROMETRY; ANTARCTIC SNOW; TRACE-ELEMENTS; ALPINE SNOW; ICE; EMISSIONS; LEAD; ATMOSPHERE; POLLUTION</t>
  </si>
  <si>
    <t>To better assess the seasonality in the fallout of heavy metals to central Greenland, a continuous series of 68 snow samples has been collected at it remote site in the Summit area from it 2.7 m pit using ultraclean sampling procedures, This covers it continuous four year time period from spring 1991 to spring 1995. Co, Cu, Zn, Mo, Rh, Pd, Ag, Cd, Sb, Pt, Pb, Bi and U were determined using ultrasensitive inductively coupled plasma Sector field mass spectrometry Under clean room conditions, fit addition we also determined Al by graphite furnace atomic absorption spectrometry and Na+, Ca2+, SO42. MSA and oxalate by ion chromatography species that will assist in the interpretation of the trace metal data, The data show Pronounced inter and intra-annual variations, with large differences in the amplitude of these variations for the element studied, with few clear seasonaliy patterns. Generally high concentrations are observed in the sprint, snow layers while much lower concentrations are topical of summer snow layers. Significant correlations are observed between Co, Cu Zn. Ag and Sb, while Pt, Pd and Rh show no correlation with the other metals. Crustal enrichment factors show that while the crustal dust contribution is probably important for some metals for part of the scar (spring) anthropogenic inputs are as important in many instances. Pronounced intra-annual variations are observed for Some metals. in particular Pt. The variations observed for this metal parallel fairly closely changes in Russian Pt production. which points to emissions from smelters in the Russian Arctic as likely sources for Pt.</t>
  </si>
  <si>
    <t>Univ Venice, Dept Environm Sci, I-30123 Venice, Italy; Univ Venice, CNR, Inst Dynam Environm Proc, I-30123 Venice, Italy; CNRS, Lab Glaciol &amp; Geophys Environm, F-38402 St Martin Dheres, France; Univ Grenoble 1, Inst Univ France, Observ Sci Univers, F-38041 Grenoble, France; Univ Grenoble 1, Inst Univ France, Unite Format &amp; Rech Phys, F-38041 Grenoble, France; Univ Grenoble 1, Inst Sci &amp; Tech Grenoble, F-38041 Grenoble, France</t>
  </si>
  <si>
    <t>Universita Ca Foscari Venezia; Consiglio Nazionale delle Ricerche (CNR); Istituto per la Dinamica dei Processi Ambientali (IDPA-CNR); Universita Ca Foscari Venezia; Centre National de la Recherche Scientifique (CNRS); Communaute Universite Grenoble Alpes; Universite Grenoble Alpes (UGA); Institut Universitaire de France; Communaute Universite Grenoble Alpes; Universite Grenoble Alpes (UGA); Institut Universitaire de France; Communaute Universite Grenoble Alpes; Universite Grenoble Alpes (UGA)</t>
  </si>
  <si>
    <t>Univ Venice, Dept Environm Sci, I-30123 Venice, Italy.</t>
  </si>
  <si>
    <t>barbante@unive.it</t>
  </si>
  <si>
    <t>Cozzi, Giulio/F-6473-2010; jaffrezo, jean-luc/HIU-0016-2022; Cozzi, Giulio/R-4554-2019; Barbante, Carlo/B-3195-2011</t>
  </si>
  <si>
    <t>Cozzi, Giulio/0000-0001-8796-4176; Barbante, Carlo/0000-0003-4177-2288; Cescon, Paolo/0000-0003-1836-6759</t>
  </si>
  <si>
    <t>1464-0333</t>
  </si>
  <si>
    <t>10.1039/b210460a</t>
  </si>
  <si>
    <t>WOS:000182392700032</t>
  </si>
  <si>
    <t>De Marino, S; Borbone, N; Iorizzi, M; Esposito, G; McClintock, JB; Zollo, F</t>
  </si>
  <si>
    <t>Bioactive asterosaponins from the starfish Luidia quinaria and Psilaster cassiope.: Isolation and structure characterization by two-dimensional NMR spectroscopy</t>
  </si>
  <si>
    <t>POLYHYDROXYLATED STEROIDS; OLIGOGLYCOSIDE SULFATES; ANTARCTIC STARFISH; SAPONINS; GLYCOSIDES; POLYHYDROXYSTEROIDS; CONSTITUENTS; ASTEROIDEA</t>
  </si>
  <si>
    <t>An investigation of the polar extracts from two starfish, Luidia quinaria and Psilaster cassiope, led to the isolation of five sulfated asterosaponins. Two of them, named luidiaquinoside (1) and psilasteroside (2), are new compounds. Luidiaquinoside (1) contains a novel pentasaccharide chain composed of D-glucose, D-quinovose, and D-ffiCose, with the D-glucose unit being the branching point. Psilasteroside (2) contains a hexasaccharide chain in which an arabinose residue is detectable in the furanose form. Both of these compounds possess a Delta(9(11)),3beta,6alpha-dihydroxysteroidal nucleus with a 20-hydroxy, 23-oxo functionality. The structures of the new asterosaponins were elucidated by a combination of NMR techniques including (1)H-(1)H (COSY, TOCSY, and ROESY) and (1)H-(13)C (HMQC and HMBC) spectroscopy, ESIMS and HRFABMS spectrometry, and GC analyses. The new asterosaponins show marginal in vitro cytotoxicity against RBL-2H3 (rat basophilic leukemia) cell lines.</t>
  </si>
  <si>
    <t>Univ Naples Federico 2, Dipartimento Chim Sostanze Nat, I-80131 Naples, Italy; Univ Molise, Dipartimento Sci &amp; Tecnol Agroalimentari Ambient, I-86100 Campobasso, Italy; Univ Naples Federico 2, Dipartimento Farmacol Sperimentale, I-80131 Naples, Italy; Univ Alabama, Dept Biol, Birmingham, AL 35294 USA</t>
  </si>
  <si>
    <t>University of Naples Federico II; University of Molise; University of Naples Federico II; University of Alabama System; University of Alabama Birmingham</t>
  </si>
  <si>
    <t>Zollo, F (corresponding author), Univ Naples Federico 2, Dipartimento Chim Sostanze Nat, Via D Montesano 49, I-80131 Naples, Italy.</t>
  </si>
  <si>
    <t>fzollo@unina.it</t>
  </si>
  <si>
    <t>Esposito, Giuseppe/AAA-7949-2019; Borbone, Nicola/A-6061-2009; Iorizzi, Maria/F-4491-2012; De Marino, Simona/AAZ-5662-2021</t>
  </si>
  <si>
    <t>Esposito, Giuseppe/0000-0001-8080-8218; Borbone, Nicola/0000-0003-0216-9814; Iorizzi, Maria/0000-0002-8653-6628; De Marino, Simona/0000-0002-0300-5048; Zollo, Franco/0000-0002-2004-5711</t>
  </si>
  <si>
    <t>10.1021/np0205046</t>
  </si>
  <si>
    <t>673CV</t>
  </si>
  <si>
    <t>WOS:000182562800012</t>
  </si>
  <si>
    <t>Thurnherr, AM; Speer, KG</t>
  </si>
  <si>
    <t>Boundary mixing and topographic blocking on the Mid-Atlantic Ridge in the South Atlantic</t>
  </si>
  <si>
    <t>ANTARCTIC BOTTOM WATER; BRAZIL BASIN; ROUGH TOPOGRAPHY; SATELLITE ALTIMETRY; DEEP CIRCULATION; ABYSSAL OCEAN; RIFT-VALLEY; CURRENTS; FLOW; LAYERS</t>
  </si>
  <si>
    <t>It is commonly observed in hydrographic sections crossing midocean ridges that the isopycnals on the ridge flanks slope downward toward the crests. Although the observed vertical scales of isopycnal dipping are not consistent with steady diffusive boundary layers on slopes, the cross-flank density gradients can nevertheless be caused by diapycnal mixing acting on timescales of several years. The corresponding pressure gradients are usually inferred to be associated with cyclonic along-flank flows. Recent observations of southward flow along the highly corrugated western flank of the Mid-Atlantic Ridge near 20degreesS are inconsistent with this conceptual picture, however. Data from seven zonal cross-ridge sections and from four meridional along-ridge sections were used to analyze the hydrography on the flanks of the Mid-Atlantic Ridge between 2degreesN and 30degreesS. The majority of the hydrographic stations were occupied over deep cross-flank canyons, which extend over a total length of; 90 000 km in the tropical and subtropical South Atlantic alone. The dipping of the isopycnal surfaces on the western ridge flank in the Brazil Basin is largely restricted to the canyons, where flow along the flank is topographically blocked. The magnitudes of the blocked apparent along-ridge transports are typically of order 1 Sv (1 Sv = 10(6) m(3) s(-1)) with values as high as 3 Sv, implying important consequences for circulation studies with both forward and inverse models. In the southern Brazil Basin the horizontal density gradients immediately above the blocking topography are reversed-that is, the densities increase toward the crest of the Mid-Atlantic Ridge, consistent with observations of southward flow along the flank. On the eastern flank in the Angola Basin there is a layer of crestward-increasing densities as well, but there it lies well above the ridge topography. Numerical solutions of the buoyancy equation indicate that the observed cross-flank density gradients of both signs are consistent with bottom-intensified diapycnal mixing, which causes a vertical buoyancy-flux dipole. Boundary mixing on slopes can therefore give rise to anticyclonic, as well as cyclonic, along-slope flows. The observed horizontal temperature and salinity gradients near the Mid-Atlantic Ridge in the South Atlantic cannot be accounted for by diapycnal mixing alone, on the other hand. The distributions of these properties are therefore largely determined by isopycnal processes.</t>
  </si>
  <si>
    <t>Florida State Univ, Dept Oceanog, Tallahassee, FL 32306 USA</t>
  </si>
  <si>
    <t>State University System of Florida; Florida State University</t>
  </si>
  <si>
    <t>Thurnherr, AM (corresponding author), Florida State Univ, Dept Oceanog, Tallahassee, FL 32306 USA.</t>
  </si>
  <si>
    <t>a.thurnherr@ocean.fsu.edu</t>
  </si>
  <si>
    <t>Thurnherr, Andreas/0000-0002-1977-7122</t>
  </si>
  <si>
    <t>10.1175/1520-0485(2003)33&lt;848:BMATBO&gt;2.0.CO;2</t>
  </si>
  <si>
    <t>660UC</t>
  </si>
  <si>
    <t>WOS:000181851100012</t>
  </si>
  <si>
    <t>Radko, T; Marshall, J</t>
  </si>
  <si>
    <t>Equilibration of a Warm Pumped Lens on a β plane</t>
  </si>
  <si>
    <t>OCEAN CIRCULATION MODELS; STRATIFICATION; EDDIES</t>
  </si>
  <si>
    <t>The dynamics of a warm lens created by a surface buoyancy flux and Ekman pumping in an initially homogeneous, unbounded fluid on a beta plane is studied in a set of high-resolution numerical experiments. A simple analytical model for the equilibrium structure of the lens is developed that assumes that the input of vorticity and buoyancy from the Ekman layer is balanced through transfer by baroclinic eddies that carry the warm fluid laterally away from the lens. The importance of eddy-induced diapycnal flux in the western intensification region is emphasized by developing a boundary layer theory based entirely on the cross-frontal mass exchange due to eddies. The theory is successfully tested against direct numerical eddy-resolving simulations. Possible oceanographic implications of the study for understanding subtropical gyres and the Antarctic Circumpolar Current are discussed.</t>
  </si>
  <si>
    <t>Radko, T (corresponding author), MIT, Dept Earth Atmospher &amp; Planetary Sci, Rm 54-1626,77 Massachusetts Ave, Cambridge, MA 02139 USA.</t>
  </si>
  <si>
    <t>10.1175/1520-0485(2003)33&lt;885:EOAWPL&gt;2.0.CO;2</t>
  </si>
  <si>
    <t>WOS:000181851100014</t>
  </si>
  <si>
    <t>Russo, MV; Campanella, L; Avino, P</t>
  </si>
  <si>
    <t>Identification of halocarbons in the Tiber and Marta rivers by static headspace and liquid-liquid extraction analysis</t>
  </si>
  <si>
    <t>JOURNAL OF SEPARATION SCIENCE</t>
  </si>
  <si>
    <t>Meeting on Interdisciplinary Chemical Analysis</t>
  </si>
  <si>
    <t>FEB 20-22, 2002</t>
  </si>
  <si>
    <t>ROME, ITALY</t>
  </si>
  <si>
    <t>halocarbons; static headspace analysis; liquid-liquid extraction; GCECD; water samples</t>
  </si>
  <si>
    <t>ANTARCTIC SURFACE WATERS</t>
  </si>
  <si>
    <t>Volatile organochlorine compounds in the Tiber and Marta rivers have been analyzed by liquid-liquid extraction and headspace gas chromatography. Several different halogenated compounds were identified, in particular chloroform, bromoform, trichloroethane, trichloroethene, and tetrachloroethene. The concentrations of the halocarbons varied between 0.05 and 4.5 mug L-1 with a relative standard deviation &lt;4.0%. The highest concentrations were observed for chloroform, bromoform, and tetrachloroethene in the Marta and Tiber rivers. The results obtained by use of the two analytical methods were similar.</t>
  </si>
  <si>
    <t>Univ Molise, Fac Agraria, DISTAAM, I-86100 Campobasso, Italy; Univ Roma La Sapienza, Dipartimento Chim, I-00185 Rome, Italy; ISPESL, DIPIA, I-00184 Rome, Italy</t>
  </si>
  <si>
    <t>University of Molise; Sapienza University Rome</t>
  </si>
  <si>
    <t>Russo, MV (corresponding author), Univ Molise, Fac Agraria, DISTAAM, Via Sanctis, I-86100 Campobasso, Italy.</t>
  </si>
  <si>
    <t>Avino, Pasquale/J-5337-2013; Avino, Pasquale/H-4946-2019; Russo, Mario Vincenzo/E-5485-2012; Russo, Mario Vincenzo/AAB-6349-2022</t>
  </si>
  <si>
    <t>Avino, Pasquale/0000-0003-4030-7624; Russo, Mario Vincenzo/0000-0003-3741-4162; Russo, Mario Vincenzo/0000-0003-3741-4162; Russo, Mario Vincenzo/0000-0002-5910-3640</t>
  </si>
  <si>
    <t>PO BOX 10 11 61, D-69451 WEINHEIM, GERMANY</t>
  </si>
  <si>
    <t>1615-9314</t>
  </si>
  <si>
    <t>J SEP SCI</t>
  </si>
  <si>
    <t>J. Sep. Sci.</t>
  </si>
  <si>
    <t>10.1002/jssc.200390047</t>
  </si>
  <si>
    <t>Chemistry, Analytical</t>
  </si>
  <si>
    <t>673YQ</t>
  </si>
  <si>
    <t>WOS:000182609200005</t>
  </si>
  <si>
    <t>Allcock, AL; Hochberg, FG; Stranks, TN</t>
  </si>
  <si>
    <t>Re-evaluation of Graneledone setebos (Cephalopoda: Octopodidae) and allocation to the genus Megaleledone</t>
  </si>
  <si>
    <t>SOUTHERN-OCEAN</t>
  </si>
  <si>
    <t>The holotype of the Antarctic octopodid Graneledone setebos was re-examined and found to lack the epidermal warts characteristic of the genus Graneledone. It is similar in its large size to another Southern Ocean species, Megaleledone senoi. A comparative study of G. setebos and specimens attributed to M. senoi led us to conclude that M. senoi is a junior synonym of G. setebos. Although M. senoi is not valid, the genus Megaleledone can be separated from other genera by the structure of the radula (which lacks marginal plates) and we therefore consider the genus to be valid. We propose the new combination of Megaleledone setebos and have refigured the beaks and radula of the holotype herein and expanded the description. A search of museum specimens and the literature shows that Megaleledone setebos is more common in Antarctic waters than previously supposed.</t>
  </si>
  <si>
    <t>Queens Univ Belfast, Sch Biol &amp; Biochem, Marine Syst Res Grp, Belfast BT9 7BL, Antrim, North Ireland; Santa Barbara Museum Nat Hist, Dept Invertebrate Zool, Santa Barbara, CA 93105 USA; Museum Victoria, Div Programs Res &amp; Collect, Melbourne, Vic 3001, Australia</t>
  </si>
  <si>
    <t>Queens University Belfast; Museum Victoria</t>
  </si>
  <si>
    <t>Queens Univ Belfast, Sch Biol &amp; Biochem, Marine Syst Res Grp, 97 Lisburn Rd, Belfast BT9 7BL, Antrim, North Ireland.</t>
  </si>
  <si>
    <t>l.allcock@qub.ac.uk</t>
  </si>
  <si>
    <t>Allcock, Louise/A-7359-2012</t>
  </si>
  <si>
    <t>Allcock, Louise/0000-0002-4806-0040</t>
  </si>
  <si>
    <t>10.1017/S0025315403007148h</t>
  </si>
  <si>
    <t>668WY</t>
  </si>
  <si>
    <t>WOS:000182319200011</t>
  </si>
  <si>
    <t>Ritz, DA; Cromer, L; Swadling, KM; Nicol, S; Osborn, J</t>
  </si>
  <si>
    <t>Heart rate as a measure of stress in Antarctic krill, Euphausia superba</t>
  </si>
  <si>
    <t>CRUSTACEANS; BEHAVIOR; ENERGY; ICE</t>
  </si>
  <si>
    <t>Antarctic krill, Euphausia superba, normally live in social aggregations (schools) but rarely aggregate in laboratory tanks. In order to study the effect of stress on solitary living we tethered krill to wooden skewers and measured heart rate both when they were held isolated from conspecifics and when they were held at normal schooling distances (similar to1 body length). Heart rate did not differ significantly with sex or body size. However, intermoult krill had a significantly lower heart rate than postmoult animals. When two individuals were held at schooling distance, with one slightly higher in the water column than the other, the heart rate of the higher individual slowed significantly (106-98 beats min(-1)), while that of the lower individual remained the same. We interpret these results to mean that krill living solitarily are stressed but will respond to neighbouring individuals by decreasing their metabolic rate and saving energy.</t>
  </si>
  <si>
    <t>Univ Tasmania, Sch Zool, Hobart, Tas 7001, Australia; Australian Antarctic Div, Kingston, Tas 7050, Australia; Univ Tasmania, Sch Geog &amp; Environm Studies, Hobart, Tas 7001, Australia</t>
  </si>
  <si>
    <t>University of Tasmania; Australian Antarctic Division; University of Tasmania</t>
  </si>
  <si>
    <t>Ritz, DA (corresponding author), Univ Tasmania, Sch Zool, POB 252-5, Hobart, Tas 7001, Australia.</t>
  </si>
  <si>
    <t>Newman, Louise/Q-8592-2019</t>
  </si>
  <si>
    <t>Newman, Louise/0000-0001-9523-8713; Swadling, Kerrie/0000-0002-7620-841X; Osborn, Jon/0000-0003-2278-3766</t>
  </si>
  <si>
    <t>10.1017/S002531540300715Xh</t>
  </si>
  <si>
    <t>WOS:000182319200012</t>
  </si>
  <si>
    <t>Riley, TR; Leat, PT; Kelley, SP; Millar, IL; Thirlwall, MF</t>
  </si>
  <si>
    <t>Thinning of the Antarctic Peninsula lithosphere through the Mesozoic: evidence from Middle Jurassic basaltic lavas</t>
  </si>
  <si>
    <t>LITHOS</t>
  </si>
  <si>
    <t>basalt; continental margin; 40Ar-39Ar geochronology; geochermstry; rhyolite</t>
  </si>
  <si>
    <t>BACK-ARC BASIN; GRAHAM LAND; PRECISE DETERMINATION; SILICIC VOLCANISM; JASON PENINSULA; ISLAND-ARC; PATAGONIA; GONDWANA; CHRONOLOGY; MAGMATISM</t>
  </si>
  <si>
    <t>Rare basaltic volcanic rocks from the northern Antarctic Peninsula (Jason Peninsula) are established as marginally predating a silicic large igneous province, which developed along the proto-Pacific margin of Gondwana. 40Ar-39Ar geochronology reported here has dated the basalts in the interval, 175-168 Ma, which overlaps with the dates previously obtained on the silicic volcanic rocks, 171-168 Ma. The basalts are evolved with low Mg#, Cr and Ni, indicating they have undergone significant fractional crystallisation from mantle-derived melts. Their trace elements (high Th/Yb) and isotope ratios (positive epsilonSr and low epsilonNd) indicate that they are derived from lithospheric mantle, which has been significantly modified by subduction-derived fluids and sediments. Cretaceous age (126-106 Ma) primitive mafic dykes from the Antarctic Peninsula are also interpreted as partial melts of the subduction-modified mantle, and together with the Middle Jurassic basalts are used to monitor the Antarctic Peninsula lithosphere. The shift from lithosphere-derived (Jurassic) to asthenosphere-derived (Cretaceous) partial melts in the northern Antarctic Peninsula is attributed to thinning of the lithosphere, which was a consequence of the voluminous silicic volcanism of the Middle Jurassic, coupled with regional extension. The chemistry, chronology and rarity of the basalts are consistent with the model proposed for the voluminous silicic volcanism. (C) 2002 Elsevier Science B.V. All rights reserved. Rare basaltic volcanic rocks from the northern Antarctic Peninsula (Jason Peninsula) are established as marginally predating a silicic large igneous province, which developed along the proto-Pacific margin of Gondwana. 40Ar-39Ar geochronology reported here has dated the basalts in the interval, 175-168 Ma, which overlaps with the dates previously obtained on the silicic volcanic rocks, 171-168 Ma. The basalts are evolved with low Mg#, Cr and Ni, indicating they have undergone significant fractional crystallisation from mantle-derived melts. Their trace elements (high Th/Yb) and isotope ratios (positive epsilonSr and low epsilonNd) indicate that they are derived from lithospheric mantle, which has been significantly modified by subduction-derived fluids and sediments. Cretaceous age (126-106 Ma) primitive mafic dykes from the Antarctic Peninsula are also interpreted as partial melts of the subduction-modified mantle, and together with the Middle Jurassic basalts are used to monitor the Antarctic Peninsula lithosphere. The shift from lithosphere-derived (Jurassic) to asthenosphere-derived (Cretaceous) partial melts in the northern Antarctic Peninsula is attributed to thinning of the lithosphere, which was a consequence of the voluminous silicic volcanism of the Middle Jurassic, coupled with regional extension. The chemistry, chronology and rarity of the basalts are consistent with the model proposed for the voluminous silicic volcanism. (C) 2002 Elsevier Science B.V. All rights reserved. Rare basaltic volcanic rocks from the northern Antarctic Peninsula (Jason Peninsula) are established as marginally predating a silicic large igneous province, which developed along the proto-Pacific margin of Gondwana. 40Ar-39Ar geochronology reported here has dated the basalts in the interval, 175-168 Ma, which overlaps with the dates previously obtained on the silicic volcanic rocks, 171-168 Ma. The basalts are evolved with low Mg#, Cr and Ni, indicating they have undergone significant fractional crystallisation from mantle-derived melts. Their trace elements (high Th/Yb) and isotope ratios (positive epsilonSr and low epsilonNd) indicate that they are derived from lithospheric mantle, which has been significantly modified by subduction-derived fluids and sediments. Cretaceous age (126-106 Ma) primitive mafic dykes from the Antarctic Peninsula are also interpreted as partial melts of the subduction-modified mantle, and together with the Middle Jurassic basalts are used to monitor the Antarctic Peninsula lithosphere. The shift from lithosphere-derived (Jurassic) to asthenosphere-derived (Cretaceous) partial melts in the northern Antarctic Peninsula is attributed to thinning of the lithosphere, which was a consequence of the voluminous silicic volcanism of the Middle Jurassic, coupled with regional extension. The chemistry, chronology and rarity of the basalts are consistent with the model proposed for the voluminous silicic volcanism. (C) 2002 Elsevier Science B.V. All rights reserved.</t>
  </si>
  <si>
    <t>British Antarctic Survey, NERC, Cambridge CB3 0ET, England; Open Univ, Dept Earth Sci, Milton Keynes MK7 6AA, Bucks, England; NERC, Isotope Geosci Lab, British Antarctic Survey, Keyworth NG12 5GG, Notts, England; Univ London, Radiogen Isotope Facil, Dept Geol, Egham TW20 0EX, Surrey, England</t>
  </si>
  <si>
    <t>UK Research &amp; Innovation (UKRI); Natural Environment Research Council (NERC); NERC British Antarctic Survey; Open University - UK; UK Research &amp; Innovation (UKRI); Natural Environment Research Council (NERC); NERC British Antarctic Survey; NERC British Geological Survey; University of London; Royal Holloway University London</t>
  </si>
  <si>
    <t>British Antarctic Survey, NERC, Madingley Rd, Cambridge CB3 0ET, England.</t>
  </si>
  <si>
    <t>t.riley@bas.ac.uk</t>
  </si>
  <si>
    <t>Millar, Ian L/F-1541-2010; Kelley, Simon/AAR-7075-2020</t>
  </si>
  <si>
    <t>Kelley, Simon/0000-0002-1756-0480; Riley, Teal/0000-0002-3333-5021</t>
  </si>
  <si>
    <t>0024-4937</t>
  </si>
  <si>
    <t>1872-6143</t>
  </si>
  <si>
    <t>Lithos</t>
  </si>
  <si>
    <t>10.1016/S0024-4937(02)00266-9</t>
  </si>
  <si>
    <t>661XJ</t>
  </si>
  <si>
    <t>WOS:000181914900001</t>
  </si>
  <si>
    <t>Dezileau, L; Bareille, B; Reyss, JL</t>
  </si>
  <si>
    <t>The 231Pa/230Th ratio as a proxy for past changes in opal fluxes in the Indian sector of the Southern Ocean</t>
  </si>
  <si>
    <t>MARINE CHEMISTRY</t>
  </si>
  <si>
    <t>Pa-231/Th-230 ratio; opal flux; Southern Ocean</t>
  </si>
  <si>
    <t>BIOGENIC SILICA; POLAR FRONT; DEEP-SEA; INTERGLACIAL CHANGES; TH-230 MEASUREMENTS; ANTARCTIC WATERS; ATMOSPHERIC CO2; ATLANTIC SECTOR; PA-231; SEDIMENTS</t>
  </si>
  <si>
    <t>Published scavenging models generally assume that the Pa-231/Th-230 ratios of surface sediments are primarily determined by the mass flux of particles. In this study we compare the Th-230 normalized vertical fluxes of both total sediments and opal to the Pa-231/Th-230 ratios measured from six sediment cores sampled across the Antarctic Circumpolar Current (ACC). We observe a better correlation between the Pa-231/Th-230 ratios and the vertical opal fluxes corrected for dissolution than with total sediment vertical fluxes. This observation indicates that opal may explain the enhanced scavenging of Pa-231. This result is consistent with the studies of Loeff and Berger [Deep-Sea Res. 40 (2) (1993) 339], Kumar et al. [Nature 378 (1995) 675] and Walter et al. [Earth Planet. Sci. Lett. 149 (1997) 85] who speculated that opal may explain enhanced scavenging of Pa-231. Finally, our results suggest that the Pa-231/Th-230 ratio is a reliable indicator of opal mass flux and can be used, taking some precautions, as a proxy for opal paleoproductivity in the Indian sector of the Southern Ocean. (C) 2002 Elsevier Science B.V. All rights reserved.</t>
  </si>
  <si>
    <t>Univ Concepcion, Ctr Invest Oceanog Pacifico SurOriental, PROFC, Concepcion 3, Chile; Univ Pau &amp; Pays Adour, EP CNRS 132, Lab Chim Analyt Bioinorgan &amp; Environm, F-64000 Pau, France; CEA, CNRS, Lab Mixte, Lab Sci Climat &amp; Environm, F-91198 Gif Sur Yvette, France</t>
  </si>
  <si>
    <t>Universidad de Concepcion; Universite de Pau et des Pays de l'Adour; Universite Paris Saclay; CEA; Centre National de la Recherche Scientifique (CNRS)</t>
  </si>
  <si>
    <t>Dezileau, L (corresponding author), Univ Concepcion, Ctr Invest Oceanog Pacifico SurOriental, PROFC, Concepcion 3, Chile.</t>
  </si>
  <si>
    <t>laurent.dezileau@profc.udec.cl</t>
  </si>
  <si>
    <t>0304-4203</t>
  </si>
  <si>
    <t>MAR CHEM</t>
  </si>
  <si>
    <t>Mar. Chem.</t>
  </si>
  <si>
    <t>10.1016/S0304-4203(02)00070-1</t>
  </si>
  <si>
    <t>Chemistry, Multidisciplinary; Oceanography</t>
  </si>
  <si>
    <t>Chemistry; Oceanography</t>
  </si>
  <si>
    <t>674NM</t>
  </si>
  <si>
    <t>WOS:000182642900001</t>
  </si>
  <si>
    <t>Pastor, T; Aguilar, A</t>
  </si>
  <si>
    <t>Reproductive cycle of the female Mediterranean monk seal in the western Sahara</t>
  </si>
  <si>
    <t>Mediterranean monk seal; Monachut monachus; reproductive cycle; lactation; molt; mating; interbirth</t>
  </si>
  <si>
    <t>ANTARCTIC FUR SEALS; MONACHUS-MONACHUS; INDIVIDUAL VARIATION; HALICHOERUS-GRYPUS; AGE; BIRTH; SCHAUINSLANDI; IMPLANTATION; PARTURITION; CALLORHINUS</t>
  </si>
  <si>
    <t>Mediterranean monk seals at Cap Blanc, western Sahara, pup annually throughout the year, although births are more frequent in autumn (October). Consequently, subsequent events of the cycle are not seasonal. This lack of synchronicity in reproduction can be attributed to the subtropical location of the colony and the presence of a semipermanent upwelling in the area. This contrasts with the consistency in the timing of parturition of individual females, which results in an interbirth period of one year, which varies by a maximum of only 15 d. The duration of lactation, which can last up to five months, correlates with that of the interbirth period. The interbirth and molt-to-parturition periods are relatively constant, and the only part of the cycle that appears to compensate for variation in lactation length is the weaning-to-molt period, which correlates negatively with the duration of lactation. As a result of the long lactation period, estrus probably does not occur at the end of weaning, as it does in most other phocids.</t>
  </si>
  <si>
    <t>Univ Barcelona, Dept Anim Biol, GBC, E-08028 Barcelona, Spain</t>
  </si>
  <si>
    <t>Pastor, T (corresponding author), Univ Barcelona, Dept Anim Biol, GBC, E-08028 Barcelona, Spain.</t>
  </si>
  <si>
    <t>Vivia, Ariel/JAO-4693-2023; Aguilar, Alex/L-1283-2014</t>
  </si>
  <si>
    <t>Aguilar, Alex/0000-0002-5751-2512; Pastor Ramos, Teresa/0000-0003-2417-8965</t>
  </si>
  <si>
    <t>10.1111/j.1748-7692.2003.tb01111.x</t>
  </si>
  <si>
    <t>655YZ</t>
  </si>
  <si>
    <t>WOS:000181582200005</t>
  </si>
  <si>
    <t>Staniland, IJ; Boyd, IL</t>
  </si>
  <si>
    <t>Variation in the foraging location of Antarctic fur seals (Arctocephalus gazella) and the effects on diving behavior</t>
  </si>
  <si>
    <t>fur seal; Arctocephalus gazella; foraging; diving; krill</t>
  </si>
  <si>
    <t>SOUTH GEORGIA; BUDGETS; ISLAND</t>
  </si>
  <si>
    <t>This study investigated how female Antarctic fur seals adapt their foraging behavior, over time scales of days, to spatial unpredictability in the distribution of their food. Lactating Antarctic fur seals are central-place foragers that feed on highly patchy but spatially and temporally dynamic food. We measured the foraging distribution of 28 fur seals to test whether variation in foraging trip durations was reflected in variation in the location of foraging and the diving behavior of seals at sea. Based on the maximum distance travelled from the breeding beach, three categories of foraging trips were defined: those to the continental shelf area (n = 12, median = 71 km), to oceanic water (n = 11, median = 164 km), and to farther offshore oceanic waters (n = 5, median = 260 km). Trip duration and mean surface speed were positively correlated with the maximum distance travelled from the breeding beach. Seals on longer trips spent proportionally less of their time submerged, but there was no significant difference in the total number of dives or the total time spent foraging by seals in relation to trip duration. Evidence from this study and previous work investigating energy gain suggests that an animal on a longer foraging trip could potentially have a higher mean energy return per dive than a similar animal on a shorter foraging trip. Evidence presented suggests that the type of foraging trip (near or far) is not predetermined by the animal but may be a simple response to the stochastic distribution of the resources available.</t>
  </si>
  <si>
    <t>British Antarctic Survey, NERC, Cambridge CB3 0ET, England; Univ St Andrews, Gatty Marine Lab, Sea Mammal Res Unit, St Andrews KY16 0HS, Fife, Scotland</t>
  </si>
  <si>
    <t>Staniland, IJ (corresponding author), British Antarctic Survey, NERC, High Cross,Madingley Rd, Cambridge CB3 0ET, England.</t>
  </si>
  <si>
    <t>Staniland, Iain/I-4725-2012</t>
  </si>
  <si>
    <t>Staniland, Iain/0000-0003-2736-9134</t>
  </si>
  <si>
    <t>10.1111/j.1748-7692.2003.tb01112.x</t>
  </si>
  <si>
    <t>WOS:000181582200006</t>
  </si>
  <si>
    <t>Staniland, IJ; Taylor, RI; Boyd, IL</t>
  </si>
  <si>
    <t>An enema method for obtaining fecal material from known individual seals on land</t>
  </si>
  <si>
    <t>Antarctic fur seal; Arctocephalus gazella; enema; scat; diet; otoliths; krill; South Georgia</t>
  </si>
  <si>
    <t>FUR SEALS; ARCTOCEPHALUS-GAZELLA; SOUTH GEORGIA; DIET COMPOSITION; DIGESTION; OTOLITHS; BEAKS; SEX</t>
  </si>
  <si>
    <t>Female Antarctic fur seals returning ashore after foraging trips were restrained, and fecal material was obtained by introducing approximately one litre of warm water into the animal's colon via the anus. The material then naturally expelled by the animal was collected and analyzed. Of 159 enemas attempted, 148 (93%) produced enough fecal material for subsequent analysis, i.e., where ten or more carapaces or one or more otoliths were recovered. The method produced no obvious external signs of damage to any of the animals, and all were observed suckling their pups within the same season. There was no significant difference in the mean krill sizes collected by enema compared to scat sampling. Also, using their incidence, there was no significant difference in the two sampling methods for any of the fish species considered, though using the proportion of otoliths of a given species of the total otoliths found, there was a difference with one species, Gymnoscopelus nicholsi. With this technique, it is possible to target individual seals or specific demographic categories for diet analysis. This means that, by using feces collected from enemas, a wider range of questions can be addressed than are currently possible using scat collection alone.</t>
  </si>
  <si>
    <t>10.1111/j.1748-7692.2003.tb01114.x</t>
  </si>
  <si>
    <t>WOS:000181582200008</t>
  </si>
  <si>
    <t>Whitehead, H; MacLeod, CD; Rodhouse, P</t>
  </si>
  <si>
    <t>Differences in niche breadth among some teuthivorous mesopelagic marine mammals</t>
  </si>
  <si>
    <t>WHALE ZIPHIUS-CAVIROSTRIS; BOTTLE-NOSED WHALE; PHYSETER-MACROCEPHALUS; CEPHALOPOD REMAINS; STOMACH CONTENTS; DIVING BEHAVIOR; SPERM WHALE; DIET; CETACEA; CAUGHT</t>
  </si>
  <si>
    <t>Dalhousie Univ, Dept Biol, Halifax, NS B3H 4J1, Canada; Max Planck Inst Behav Physiol, D-82305 Seewiesen, Germany; Univ Aberdeen, Dept Zool, Aberdeen AB24 2TZ, Scotland; Beaked Whale Res Project, Aberdeen AB24 3EX, Scotland; British Antarctic Survey, NERC, Cambridge CB3 0ET, England</t>
  </si>
  <si>
    <t>Dalhousie University; Max Planck Society; University of Aberdeen; University of Aberdeen; UK Research &amp; Innovation (UKRI); Natural Environment Research Council (NERC); NERC British Antarctic Survey</t>
  </si>
  <si>
    <t>Dalhousie Univ, Dept Biol, Halifax, NS B3H 4J1, Canada.</t>
  </si>
  <si>
    <t>hwhitehe@dal.ca</t>
  </si>
  <si>
    <t>Rodhouse, Paul/0000-0001-5399-967X</t>
  </si>
  <si>
    <t>1748-7692</t>
  </si>
  <si>
    <t>10.1111/j.1748-7692.2003.tb01118.x</t>
  </si>
  <si>
    <t>WOS:000181582200012</t>
  </si>
  <si>
    <t>van den Broeke, MR; van Lipzig, NPM</t>
  </si>
  <si>
    <t>Factors controlling the near-surface wind field in Antarctica</t>
  </si>
  <si>
    <t>REGIONAL ATMOSPHERIC MODEL; KATABATIC WINDS; ADELIE LAND; BOUNDARY-LAYER; TEMPERATURE INVERSION; SOUTHERN-HEMISPHERE; WEST ANTARCTICA; EAST ANTARCTICA; SIPLE COAST; ICE SHELF</t>
  </si>
  <si>
    <t>Using data from the regional atmospheric climate model RACMO/ANT1 the momentum budget of the Antarctic atmospheric surface layer (SL; taken as the lowest model layer located at 6-7 m above the surface) is presented. In July (winter), the katabatic pressure gradient force (PGF) dominates the SL momentum budget over the steep coastal slopes, which results in strong (10-15 m s(-1)) and directionally constant katabatic winds. Farther inland, where surface slopes are more gentle, the large-scale PGF may become equally important. With the circumpolar pressure trough north of the Antarctic coastline, the large-scale PGF acts along with the katabatic PGF in the downslope direction. In Wilkes Land, Dronning Maud Land, and on the western Ross Ice Shelf, the large-scale PGF causes equivalent geostrophic winds in excess of 10 m s(-1). Thermal wind effects that oppose the downslope acceleration are especially strong in areas where large-scale forcing is weak, which allows cold air to pile up over the flat ice shelves and sea ice-covered ocean. In January, absorption of shortwave radiation at the surface strongly reduces the katabatic forcing and thermal wind effects, and the large-scale PGF dominates the SL momentum budget. Interestingly, large-scale easterly winds in some regions are stronger in summer than in winter, which explains the year-round constancy of Antarctic SL winds. In contrast, the large-scale SL winds in coastal West Antarctica and the Antarctic Peninsula are very variable on the seasonal timescale.</t>
  </si>
  <si>
    <t>Univ Utrecht, Inst Marine &amp; Atmospher Res, NL-3508 TA Utrecht, Netherlands; Royal Netherlands Meteorol Inst, NL-3730 AE De Bilt, Netherlands</t>
  </si>
  <si>
    <t>Utrecht University; Royal Netherlands Meteorological Institute</t>
  </si>
  <si>
    <t>Univ Utrecht, Inst Marine &amp; Atmospher Res, POB 80005, NL-3508 TA Utrecht, Netherlands.</t>
  </si>
  <si>
    <t>broeke@phys.uu.nl</t>
  </si>
  <si>
    <t>Van den Broeke, Michiel R./F-7867-2011; van Lipzig, Nicole/ABF-2964-2021</t>
  </si>
  <si>
    <t>Van den Broeke, Michiel R./0000-0003-4662-7565; van Lipzig, Nicole/0000-0003-2899-4046</t>
  </si>
  <si>
    <t>1520-0493</t>
  </si>
  <si>
    <t>10.1175/1520-0493(2003)131&lt;0733:FCTNSW&gt;2.0.CO;2</t>
  </si>
  <si>
    <t>658JM</t>
  </si>
  <si>
    <t>WOS:000181717900011</t>
  </si>
  <si>
    <t>Sochting, U; Seppelt, R</t>
  </si>
  <si>
    <t>Caloplaca coeruleofrigida sp nova, a lichen from continental Antarctica</t>
  </si>
  <si>
    <t>MYCOTAXON</t>
  </si>
  <si>
    <t>Caloplaca</t>
  </si>
  <si>
    <t>Caloplaca coeruleofrigida Sphichting &amp; Seppelt is described from Southern Victoria Land, continental Antarctica. It is characterized by vertically elongated papillae and a pale orange pigmentation on shaded parts, and black thallus and apothecia on exposed parts of the thallus.</t>
  </si>
  <si>
    <t>Univ Copenhagen, Inst Bot, Dept Mycol, DK-1353 Copenhagen K, Denmark; Australian Antarctic Div, Kingston, Tas 7050, Australia</t>
  </si>
  <si>
    <t>University of Copenhagen; Australian Antarctic Division</t>
  </si>
  <si>
    <t>Sochting, U (corresponding author), Univ Copenhagen, Inst Bot, Dept Mycol, O Farimagsgade 2D, DK-1353 Copenhagen K, Denmark.</t>
  </si>
  <si>
    <t>Sochting, Ulrik/M-2886-2014</t>
  </si>
  <si>
    <t>Sochting, Ulrik/0000-0001-7122-9425</t>
  </si>
  <si>
    <t>MYCOTAXON LTD</t>
  </si>
  <si>
    <t>ITHACA</t>
  </si>
  <si>
    <t>PO BOX 264, ITHACA, NY 14851-0264 USA</t>
  </si>
  <si>
    <t>0093-4666</t>
  </si>
  <si>
    <t>Mycotaxon</t>
  </si>
  <si>
    <t>697RT</t>
  </si>
  <si>
    <t>WOS:000183957600015</t>
  </si>
  <si>
    <t>Cowen, DF; Ahrens, J; Bai, X; Barwick, SW; Becka, T; Becker, KH; Bernardini, E; Bertrand, D; Binon, F; Biron, A; Böser, S; Botner, O; Bouhali, O; Burgess, T; Carius, S; Castermans, T; Chen, A; Chirkin, D; Conrad, J; Cooley, J; Cowen, DF; Davour, A; De Clercq, C; DeYoung, T; Desiati, P; Dewulf, JP; Doksus, P; Ekström, P; Feser, T; Gaisser, TK; Gaug, M; Gerhardt, L; Goldschmidt, A; Hallgren, A; Halzen, F; Hanson, K; Hardtke, R; Hauschildt, T; Hellwig, M; Herquet, P; Hill, GC; Hulth, PO; Hundertmark, S; Jacobsen, J; Karle, A; Koci, B; Köpke, L; Kuehn, K; Kowalski, M; Lamoureux, JI; Leich, H; Leuthold, M; Lindahl, P; Liubarsky, I; Madsen, J; Marciniewski, P; Matis, HS; McParland, CP; Minaeva, Y; Miocinovic, P; Morse, R; Nahnhauer, R; Neunhöffer, T; Niessen, P; Nygren, DR; Ogelman, H; Olbrechts, P; de los Heros, CP; Pohl, AC; Price, PB; Przybylski, GT; Rawlins, K; Resconi, E; Rhode, W; Ribordy, M; Richter, S; Martino, JR; Ross, D; Sander, HG; Schmidt, T; Schneider, D; Schwarz, R; Silvestri, A; Solarz, M; Spiczak, GM; Spiering, C; Steele, D; Steffen, P; Stokstad, RG; Sudhoff, P; Sulanke, KH; Taboada, I; Thollander, L; Tilav, S; Walck, C; Weinheimer, C; Wiebusch, CH; Wiedermann, C; Wischnewski, R; Wissing, H; Woschnagg, K; Yodh, G; Young, S</t>
  </si>
  <si>
    <t>AMANDA Collaboration</t>
  </si>
  <si>
    <t>Results from the antarctic Muon and neutrino detector array</t>
  </si>
  <si>
    <t>NUCLEAR PHYSICS B-PROCEEDINGS SUPPLEMENTS</t>
  </si>
  <si>
    <t>20th International Conference on Neutrino Physics and Astrophysics</t>
  </si>
  <si>
    <t>MAY 25-30, 2002</t>
  </si>
  <si>
    <t>MUNICH, GERMANY</t>
  </si>
  <si>
    <t>HIGH-ENERGY NEUTRINOS; COSMIC-RAYS; FLUX; ICE</t>
  </si>
  <si>
    <t>We show new results from both the older and newer incarnations of AMANDA (AMANDA-B10 and AMANDA-II, respectively). These results demonstrate that AMANDA is a functioning, multipurpose detector with significant physics and astrophysics reach. They include a new higher-statistics measurement of the atmospheric muon neutrino flux and preliminary results from searches for a variety of sources of ultrahigh energy neutrinos: generic point sources, gamma-ray bursters and diffuse sources producing muons in the detector, and diffuse sources producing electromagnetic or hadronic showers in or near the detector.</t>
  </si>
  <si>
    <t>Johannes Gutenberg Univ Mainz, Inst Phys, D-55099 Mainz, Germany; Univ Delaware, Bartol Res Inst, Newark, DE 19716 USA; Univ Calif Irvine, Dept Phys &amp; Astron, Irvine, CA 92697 USA; Berg Univ Wuppertal, Fachbereich Phys 8, D-42097 Wuppertal, Germany; DESY, D-15735 Zeuthen, Germany; Free Univ Brussels, Fac Sci, B-1050 Brussels, Belgium; Uppsala Univ, Div High Energy Phys, S-75121 Uppsala, Sweden; Univ Stockholm, SCFAB, Dept Phys, SE-10691 Stockholm, Sweden; Kalmar Univ, Dept Technol, S-39182 Kalmar, Sweden; Univ Mons, B-7000 Mons, Belgium; Univ Wisconsin, Dept Phys, Madison, WI 53706 USA; Univ Calif Berkeley, Dept Phys, Berkeley, CA 94720 USA; Penn State Univ, Dept Phys, University Pk, PA 16802 USA; Free Univ Brussels, Dienst ELEM, B-1050 Brussels, Belgium; Univ Calif Berkeley, Lawrence Berkeley Lab, Berkeley, CA 94720 USA; Univ Wisconsin, Dept Phys, River Falls, WI 54022 USA; Univ Simon Bolivar, Dept Fis, Caracas 1080A, Venezuela</t>
  </si>
  <si>
    <t>Johannes Gutenberg University of Mainz; University of Delaware; University of California System; University of California Irvine; University of Wuppertal; Helmholtz Association; Deutsches Elektronen-Synchrotron (DESY); Universite Libre de Bruxelles; Uppsala University; Stockholm University; University of Kalmar; Linnaeus University; University of Mons; University of Wisconsin System; University of Wisconsin Madison; University of California System; University of California Berkeley; Pennsylvania Commonwealth System of Higher Education (PCSHE); Pennsylvania State University; Pennsylvania State University - University Park; Universite Libre de Bruxelles; University of California System; University of California Berkeley; United States Department of Energy (DOE); Lawrence Berkeley National Laboratory; University of Wisconsin System; Simon Bolivar University</t>
  </si>
  <si>
    <t>Johannes Gutenberg Univ Mainz, Inst Phys, Staudinger Weg 7, D-55099 Mainz, Germany.</t>
  </si>
  <si>
    <t>Hundertmark, Stephan/A-6592-2010; Bouhali, Othmane/JXM-3572-2024; Matis, Howard/AAO-2082-2021; Resconi, Elisa/I-3874-2016; DeYoung, Tyce/O-6895-2019; Bernardini, Elisa/AAA-4810-2020; Wiedermann, Christian Josef/ABG-9521-2020; Matis, Howard S/HMV-9747-2023; Wiebusch, Christopher H.V./G-6490-2012; Botner, Olga/A-9110-2013; Kowalski, Marek P/G-5546-2012; Hallgren, Allan/A-8963-2013; Gaug, Markus/L-2340-2014; Diaz Velez, Juan Carlos/T-2788-2018</t>
  </si>
  <si>
    <t>Bouhali, Othmane/0000-0001-7139-7322; Resconi, Elisa/0000-0003-0705-2770; DeYoung, Tyce/0000-0003-4873-3783; Bernardini, Elisa/0000-0003-3108-1141; Wiedermann, Christian Josef/0000-0002-4639-8195; Matis, Howard S/0000-0003-0764-4389; Wiebusch, Christopher H.V./0000-0002-6418-3008; Gaug, Markus/0000-0001-8442-7877; Diaz Velez, Juan Carlos/0000-0002-0087-0693; Burgess, Thomas/0000-0002-6993-5918; Cooley, Jodi/0000-0001-6761-2042; Rhode, Wolfgang/0000-0003-2636-5000; Hill, Gary/0000-0001-8881-6802; Taboada, Ignacio/0000-0003-3509-3457; Spiczak, Glenn/0000-0002-0030-0519</t>
  </si>
  <si>
    <t>0920-5632</t>
  </si>
  <si>
    <t>1873-3832</t>
  </si>
  <si>
    <t>NUCL PHYS B-PROC SUP</t>
  </si>
  <si>
    <t>Nucl. Phys. B-Proc. Suppl.</t>
  </si>
  <si>
    <t>10.1016/S0920-5632(03)01335-5</t>
  </si>
  <si>
    <t>Physics, Particles &amp; Fields</t>
  </si>
  <si>
    <t>677GW</t>
  </si>
  <si>
    <t>WOS:000182799400039</t>
  </si>
  <si>
    <t>Karle, A</t>
  </si>
  <si>
    <t>IceCube - the next generation neutrino telescope at the South Pole</t>
  </si>
  <si>
    <t>HIGH-ENERGY NEUTRINOS</t>
  </si>
  <si>
    <t>IceCube is a large neutrino telescope of the next generation to be constructed in the Antarctic Ice Sheet near the South Pole. We present the conceptual design and the sensitivity of the IceCube detector to predicted fluxes of neutrinos, both atmospheric and extra-terrestrial. A complete simulation of the detector design has been used to study the detector's capability to search for neutrinos from sources such as active galaxies, and gamma-ray bursts.</t>
  </si>
  <si>
    <t>Johannes Gutenberg Univ Mainz, Inst Phys, D-55099 Mainz, Germany; Inst Adv Study, Princeton, NJ 08540 USA; Univ Delaware, Bartol Res Inst, Newark, DE 19716 USA; Berg Univ Wuppertal, Fachbereich Phys 8, D-42097 Wuppertal, Germany; Univ Kansas, Lawrence, KS 66045 USA; Univ Maryland, Dept Phys, College Pk, MD 20742 USA; DESY, D-15735 Zeuthen, Germany; Free Univ Brussels, Fac Sci, B-1050 Brussels, Belgium; Uppsala Univ, Div High Energy Phys, S-75121 Uppsala, Sweden; Univ Stockholm, Dept Phys, SCFAB, SE-10691 Stockholm, Sweden; Univ Mons, B-7000 Mons, Belgium; Univ Calif Berkeley, Dept Phys, Berkeley, CA 94720 USA; Univ Wisconsin, Dept Phys, Madison, WI 53706 USA; Penn State Univ, Dept Phys, University Pk, PA 16802 USA; Free Univ Brussels, Dienst ELEM, B-1050 Brussels, Belgium; So Univ &amp; A&amp;M Coll, Dept Phys, Baton Rouge, LA 70813 USA; Univ Calif Berkeley, Lawrence Berkeley Lab, Berkeley, CA 94720 USA; Clark Atlanta Univ, CTSPS, Atlanta, GA 30314 USA; Univ London Imperial Coll Sci Technol &amp; Med, London SW7 2AZ, England; Univ Wisconsin, Dept Phys, River Falls, WI 54022 USA; Univ Simon Bolivar, Dept Fis, Caracas 1080A, Venezuela; Chiba Univ, Fac Sci, Dept Phys, Chiba 2638522, Japan</t>
  </si>
  <si>
    <t>Johannes Gutenberg University of Mainz; Institute for Advanced Study - USA; University of Delaware; University of Wuppertal; University of Kansas; University System of Maryland; University of Maryland College Park; Helmholtz Association; Deutsches Elektronen-Synchrotron (DESY); Universite Libre de Bruxelles; Uppsala University; Stockholm University; University of Mons; University of California System; University of California Berkeley; University of Wisconsin System; University of Wisconsin Madison; Pennsylvania Commonwealth System of Higher Education (PCSHE); Pennsylvania State University; Pennsylvania State University - University Park; Universite Libre de Bruxelles; Southern University System; Southern University &amp; A&amp;M College; University of California System; University of California Berkeley; United States Department of Energy (DOE); Lawrence Berkeley National Laboratory; Clark Atlanta University; Imperial College London; University of Wisconsin System; Simon Bolivar University; Chiba University</t>
  </si>
  <si>
    <t>Hallgren, Allan/A-8963-2013; Matis, Howard S/HMV-9747-2023; Bouhali, Othmane/JXM-3572-2024; Hundertmark, Stephan/A-6592-2010; Wiebusch, Christopher H.V./G-6490-2012; DeYoung, Tyce/O-6895-2019; Sánchez, Juan Antonio Aguilar/H-4467-2015; Diaz Velez, Juan Carlos/T-2788-2018; Kowalski, Marek/G-5546-2012</t>
  </si>
  <si>
    <t>Matis, Howard S/0000-0003-0764-4389; Bouhali, Othmane/0000-0001-7139-7322; Wiebusch, Christopher H.V./0000-0002-6418-3008; DeYoung, Tyce/0000-0003-4873-3783; Spiczak, Glenn/0000-0002-0030-0519; Cooley, Jodi/0000-0001-6761-2042; Diaz Velez, Juan Carlos/0000-0002-0087-0693; Burgess, Thomas/0000-0002-6993-5918; Dingus, Brenda/0000-0001-8451-7450; Perez de los Heros, Carlos/0000-0002-2084-5866; Hill, Gary/0000-0001-8881-6802; Taboada, Ignacio/0000-0003-3509-3457; Yoshida, Shigeru/0000-0003-2480-5105; Kowalski, Marek/0000-0001-8594-8666; Rhode, Wolfgang/0000-0003-2636-5000; Resconi, Elisa/0000-0003-0705-2770</t>
  </si>
  <si>
    <t>10.1016/S0920-5632(03)01337-9</t>
  </si>
  <si>
    <t>WOS:000182799400041</t>
  </si>
  <si>
    <t>Bialek, D</t>
  </si>
  <si>
    <t>Sink or swim: measures under international law for the conservation of the Patagonian toothfish in the Southern Ocean</t>
  </si>
  <si>
    <t>OCEAN DEVELOPMENT AND INTERNATIONAL LAW</t>
  </si>
  <si>
    <t>Antarctica; Catch Documentation Scheme; CCAMLR; CITES; conservation measures; Patagonian toothfish; WTO rules</t>
  </si>
  <si>
    <t>The Patagonian toothfish is in danger of commercial extinction. As an important element of the Antarctic's fragile ecosystem, its sudden demise could have serious implications for the biodiversity of the Southern Ocean. The high market value of Toothfish has made the species a prime target for illegal, unregulated, and unreported (IUU) fishing in the area under the regulatory control of the Commission established by the Convention for the Conservation of Antarctic Marine Living Resources (CCAMLR). This article reviews the conservation measures adopted by the Commission in an attempt to slow the race for the Toothfish and analyzes the likely effectiveness of the CCAMLR Catch Documentation Scheme (CDS), first adopted in 1999, including the consistency of its design and application with the international trade rules of the World Trade Organization (WTO). Finally, the article considers the appropriateness of a possible listing of the toothfish under the Convention on International Trade in Endangered Species (CITES).</t>
  </si>
  <si>
    <t>Univ Melbourne, Fac Law, Parkville, Vic 3052, Australia</t>
  </si>
  <si>
    <t>University of Melbourne</t>
  </si>
  <si>
    <t>Bialek, D (corresponding author), Univ Melbourne, Fac Law, Parkville, Vic 3052, Australia.</t>
  </si>
  <si>
    <t>d.bialek@law.unimelb.edu.au</t>
  </si>
  <si>
    <t>0090-8320</t>
  </si>
  <si>
    <t>1521-0642</t>
  </si>
  <si>
    <t>OCEAN DEV INT LAW</t>
  </si>
  <si>
    <t>Ocean Dev. Int. Law</t>
  </si>
  <si>
    <t>10.1080/00908320390209609</t>
  </si>
  <si>
    <t>International Relations; Law</t>
  </si>
  <si>
    <t>International Relations; Government &amp; Law</t>
  </si>
  <si>
    <t>672VY</t>
  </si>
  <si>
    <t>WOS:000182544700001</t>
  </si>
  <si>
    <t>Wood, KR</t>
  </si>
  <si>
    <t>The uncertain fate of the Madrid Protocol to the Antarctic Treaty in the maritime area</t>
  </si>
  <si>
    <t>Antarctica; Antarctic Treaty area; harmful wastes; Madrid Protocol; marine environment; shipping</t>
  </si>
  <si>
    <t>The objective of the Madrid Protocol on Environmental Protection to the Antarctic Treaty is to provide a comprehensive regime for the protection of the Antarctic environment and to preserve its value as an area for scientific research. Some Treaty nations have interpreted the reach of the Protocol to be limited with respect to the marine environment. Important environmental safeguards have not been enacted in this area, casting the effectiveness of the Protocol into doubt. This paper examines three artifacts of regime design leading to the Protocol's uncertain fate in the Antarctic maritime area and makes several recommendations for improved effectiveness.</t>
  </si>
  <si>
    <t>Univ Washington, Sch Marine Affairs, Seattle, WA 98105 USA</t>
  </si>
  <si>
    <t>University of Washington; University of Washington Seattle</t>
  </si>
  <si>
    <t>Wood, KR (corresponding author), Univ Washington, Sch Marine Affairs, 3707 Brooklyn Ave N, Seattle, WA 98105 USA.</t>
  </si>
  <si>
    <t>kwoodsma@aol.com</t>
  </si>
  <si>
    <t>10.1080/00908320390209618</t>
  </si>
  <si>
    <t>WOS:000182544700002</t>
  </si>
  <si>
    <t>Page, B; Welling, A; Chambellant, M; Goldsworthy, SD; Dorr, T; van Veen, R</t>
  </si>
  <si>
    <t>Population status and breeding season chronology of Heard Island fur seals</t>
  </si>
  <si>
    <t>ARCTOCEPHALUS-GAZELLA; TROPICALIS; SIZE</t>
  </si>
  <si>
    <t>Fur seals were eliminated by sealers at Heard Island soon after its discovery in the 1850s. The first recorded breeding of Antarctic fur seals (Arctocephalus gazella) since sealing was reported in early 1963 (two pups). The most recent survey of the Heard Island fur-seal population was undertaken between November 2000 and March 2001, when 1,012 Antarctic fur-seal pups were born. This represents a fourfold increase since the last complete census in 1987/1988 (13 years), when 248 births were recorded. Pup estimates and counts available for eight breeding seasons since 1962/1963 suggest the population has been increasing at between 12 and 20% per year. Based on pup production, the breeding population is estimated to number approximately 4,100 seals. The number of fur seals on Heard Island peaked in late February/early March at 29,256 indicating that, in addition to the breeding population, a significant number of seals born elsewhere haul out on the island. Most of these are moulting sub-adult and adult males. As in 1987/1988, only one subantarctic fur-seal pup (A. tropicalis) was observed, suggesting this species is not colonising the island, as has been speculated.</t>
  </si>
  <si>
    <t>La Trobe Univ, Dept Zool, Sea Mammal Ecol Grp, Bundoora, Vic 3083, Australia; Univ Tasmania, Sch Zool, Antarctic Wildlife Res Unit, Hobart, Tas, Australia; Ctr Etud Biol Chize, CNRS, F-79360 Beauvoir Sur Niort, France</t>
  </si>
  <si>
    <t>La Trobe University; University of Tasmania; Centre National de la Recherche Scientifique (CNRS)</t>
  </si>
  <si>
    <t>Page, B (corresponding author), La Trobe Univ, Dept Zool, Sea Mammal Ecol Grp, Bundoora, Vic 3083, Australia.</t>
  </si>
  <si>
    <t>Goldsworthy, Simon/0000-0003-4988-9085</t>
  </si>
  <si>
    <t>10.1007/s00300-003-0478-z</t>
  </si>
  <si>
    <t>671KX</t>
  </si>
  <si>
    <t>WOS:000182464900001</t>
  </si>
  <si>
    <t>Lud, D; Schlensog, M; Schroeter, B; Huiskes, AHL</t>
  </si>
  <si>
    <t>The influence of UV-B radiation on light-dependent photosynthetic performance in Sanionia uncinata (Hedw.) Loeske in Antarctica</t>
  </si>
  <si>
    <t>TIERRA-DEL-FUEGO; INDUCED DNA-DAMAGE; OZONE DEPLETION; MARINE-PHYTOPLANKTON; SOUTHERN ARGENTINA; MOSSES; PLANTS; FIELD; ECOSYSTEMS; BRYOPHYTES</t>
  </si>
  <si>
    <t>Photosynthetic activity of the moss Sanionia uncinata (Hedw.) Loeske was investigated on Leonie Island (67degrees35'S, 68degrees20'W, Antarctic Peninsula) in response to short-term changes of UV-B radiation. The UV-environment of natural mat formations dominated by S. uncinata was altered using filter screens. Two filter experiments were conducted in the Antarctic summers 1998 and 1999. A third filter experiment was conducted during springtime ozone depletion in October 1998. Photosynthetic activity of S. uncinata was mainly determined by photosynthetically active photon flux density (PPFD). Light response of relative electron transport rate through photosystem II (rel ETR = DeltaF/Fm' x PPFD) remained unaffected by ambient summer levels of UV-B radiation. The same was found for net photosynthesis and dark respiration. In October 1998, S. uncinata was mainly metabolically inactive due to low temperatures. No significant levels of DNA-damage measured as cyclobutane pyrimidine dimers (CPDs) were induced by ambient summer levels of UV-B. Artificially enhanced UV-B 2 radiation supplying a Setlow-DNA-dose of 8.7 Kj m(-2) day(-1) UV-B led to formation of 7+/-3 CPD (10(6) nucleotides)(-1). It is concluded that current ambient summer levels of UV-B radiation do not affect photosynthetic activity in S. uncinata.</t>
  </si>
  <si>
    <t>Netherlands Inst Ecol, Ctr Estuarine &amp; Marine Ecol, NL-4400 AC Yerseke, Netherlands; Univ Kiel, Inst Bot, D-24098 Kiel, Germany</t>
  </si>
  <si>
    <t>Royal Netherlands Academy of Arts &amp; Sciences; Netherlands Institute of Ecology (NIOO-KNAW); University of Kiel</t>
  </si>
  <si>
    <t>Huiskes, AHL (corresponding author), Netherlands Inst Ecol, Ctr Estuarine &amp; Marine Ecol, POB 140, NL-4400 AC Yerseke, Netherlands.</t>
  </si>
  <si>
    <t>Huiskes, Ad/C-3252-2011</t>
  </si>
  <si>
    <t>Lud, Daniela/0000-0003-2306-5416</t>
  </si>
  <si>
    <t>10.1007/s00300-003-0480-5</t>
  </si>
  <si>
    <t>WOS:000182464900002</t>
  </si>
  <si>
    <t>Thatje, S</t>
  </si>
  <si>
    <t>Campylonotus arntzianus a new species of the Campylonotidae (Crustacea: Decapoda: Caridea) from the Scotia Sea (Antarctica)</t>
  </si>
  <si>
    <t>OCEAN</t>
  </si>
  <si>
    <t>Two specimens of Campylonotus arntzianus sp. nov. were caught in the Antarctic Scotia Sea off Saunders Island (57degrees40.3l'S, 26degrees27.81'W) using an A-gassiz trawl at one station (depth: 475-589 m). The new species described here is the fifth representative of the monogeneric family Campylonotidae, and the first of the family south of the Antarctic Convergence. Campylonotus arntzianus sp. nov. is a shrimp of about 5 cm. in total length. Due to similarities in adult morphology, C. arntzianus sp. nov. seems to be closely related to C. capensis, a deep-sea species from the Southern Atlantic Ocean. A simple key for the species identification of the Campylonotidae is provided.</t>
  </si>
  <si>
    <t>Alfred Wegener Inst Polar &amp; Marine Res, Bremerhaven, Germany</t>
  </si>
  <si>
    <t>Thatje, S (corresponding author), Alfred Wegener Inst Polar &amp; Marine Res, POB 120 16127515, Bremerhaven, Germany.</t>
  </si>
  <si>
    <t>10.1007/s00300-002-0469-5</t>
  </si>
  <si>
    <t>WOS:000182464900004</t>
  </si>
  <si>
    <t>Bernard, KS; Froneman, PW</t>
  </si>
  <si>
    <t>Mesozooplankton community structure and grazing impact in the Polar Frontal Zone of the south Indian Ocean during austral autumn 2002</t>
  </si>
  <si>
    <t>ATLANTIC SECTOR; COPEPOD COMMUNITY; PHYTOPLANKTON; ZOOPLANKTON; GUT; SELECTIVITY; GEORGIA; PREDATION; PASSAGE; BLOOM</t>
  </si>
  <si>
    <t>Mesozooplankton community structure and grazing impact were investigated at 13 stations in the Polar Frontal Zone during the second Marion Offshore Variability Ecosystem Study (MOVES 11), conducted during April 2002. Total integrated chl-alpha biomass ranged between 11.17 and 28.34 mg chl-alpha m(-2) and was always dominated by nano- and picophytoplankton (&lt;20 mum). Throughout the study, small copepods, mainly Oithona similis and Ctenocalanus vanus, numerically dominated the mesozooplankton community, composing up to 85% (range 30-85%) of the total abundance. Grazing activity of the four most abundant copepods (O. similis, C. vanus, Calanus simillimus and Clausocalanus spp.), constituting up to 93% of total mesozooplankton abundance, was investigated using the gut fluorescence technique. Results of gut fluorescence analyses indicated that Calanus simillimus and Clausocalanus spp. exhibited diel variability in gut pigments with maximum values recorded at night. In contrast, O. similis and Ctenocalanus vanus did not demonstrate diel variation in gut pigment contents. Ingestion rates of the four corepods ranged from 23.23 to 1462,02 ng(pigm.)ind(-1)day(-1). The combined grazing impact of the four copepods ranged between 1 and 36% of the phytoplankton standing stock per day, with the highest daily impact occurring at stations occupied in the vicinity of the Antarctic Polar Front (similar to35.86% at station 23). Among the copepods, O. similis and Ctenocalanus vanus represented the most important consumers of phytoplankton biomass, collectively responsible for up to 89% (range 15-89%) of the total daily grazing impact. Carbon specific ingestion rates of the copepods varied between 42 and 320% body carbon per day.</t>
  </si>
  <si>
    <t>Rhodes Univ, Dept Zool &amp; Entomol, So Ocean Grp, ZA-6140 Grahamstown, South Africa</t>
  </si>
  <si>
    <t>Rhodes University</t>
  </si>
  <si>
    <t>Rhodes Univ, Dept Zool &amp; Entomol, So Ocean Grp, Box 946139, ZA-6140 Grahamstown, South Africa.</t>
  </si>
  <si>
    <t>W.Froneman@ru.ac.za</t>
  </si>
  <si>
    <t>Froneman, William/C-9085-2012; Froneman, William/GLS-0460-2022; Bernard, Kim S/J-2703-2013</t>
  </si>
  <si>
    <t>Froneman, William/0000-0003-0615-1355;</t>
  </si>
  <si>
    <t>10.1007/s00300-002-0472-x</t>
  </si>
  <si>
    <t>WOS:000182464900007</t>
  </si>
  <si>
    <t>Gutt, J; Starmans, A</t>
  </si>
  <si>
    <t>Patchiness of the megabenthos at small scales: ecological conclusions by examples from polar shelves</t>
  </si>
  <si>
    <t>BENTHIC COMMUNITIES; WEDDELL SEA; ANTARCTICA; ASSEMBLAGES</t>
  </si>
  <si>
    <t>With two exceptions, no general patterns of patchiness of the megabenthos were found on the Antarctic shelf and off northeast Greenland. Underwater videos were used as a sampling method and Morisita's Index of Dispersion for statistical analysis. A gradient from randomness to patchiness occurred for most taxa, whereas the pattern of asteroids could not be distinguished from randomness. In the Antarctic, the totals of other mobile animals were less aggregated than for sessile taxa. The findings are interpreted as a result of ecological complexity within species assemblages.</t>
  </si>
  <si>
    <t>Gutt, J (corresponding author), Alfred Wegener Inst Polar &amp; Marine Res, Columbusstr, D-27568 Bremerhaven, Germany.</t>
  </si>
  <si>
    <t>Starmans, Andreas/0000-0001-8829-0054; Gutt, Julian/0000-0003-3773-9370</t>
  </si>
  <si>
    <t>10.1007/s00300-002-0468-6</t>
  </si>
  <si>
    <t>WOS:000182464900008</t>
  </si>
  <si>
    <t>Thatje, S; Fuentes, V</t>
  </si>
  <si>
    <t>First record of anomuran and brachyuran larvae (Crustacea: Decapoda) from Antarctic waters</t>
  </si>
  <si>
    <t>Two decapod crustacean larval morphotypes belonging to the Anomura and Brachyura were found for the first time in Antarctic waters. Nine specimens were obtained from qualitative plankton hauls in Maxwell Bay (Bransfield Strait) (62degrees14'33S; 58degrees43'81W) off King George Island, Antarctic Peninsula. The anomuran morphotype belonged to the Hippidae, and apparently to the genus Emerita, whereas the brachyuran representative was assigned to the genus Pinnotheres (Pinnotheridae). At present, species determination is not possible due to lack of knowledge of larval morphology in both families. Adult forms of these reptant decapods are not known from Antarctic waters; the occurrence of the present larval forms is considered as a possible intrusion of Subantarctic water masses into the Antarctic environment. This hypothesis is supported by the additional presence of the copepod genus Acartia in the same sample material, which is exclusively known from Subantarctic waters.</t>
  </si>
  <si>
    <t>Alfred Wegener Inst Polar &amp; Marine Res, D-27515 Bremerhaven, Germany; Ctr Reg Invest Cient &amp; Tecnol, RA-5501 Mendoza, Argentina</t>
  </si>
  <si>
    <t>Thatje, S (corresponding author), Alfred Wegener Inst Polar &amp; Marine Res, POB 120 161, D-27515 Bremerhaven, Germany.</t>
  </si>
  <si>
    <t>Fuentes, Verónica L/K-7589-2014</t>
  </si>
  <si>
    <t>Fuentes, Verónica L/0000-0002-6380-0174</t>
  </si>
  <si>
    <t>10.1007/s00300-002-0476-6</t>
  </si>
  <si>
    <t>WOS:000182464900009</t>
  </si>
  <si>
    <t>Coulson, SJ; Hodkinson, ID; Webb, NR; Convey, P</t>
  </si>
  <si>
    <t>A high-Arctic population of Pyla fusca (Lepidoptera, Pyralidae) on Svalbard?</t>
  </si>
  <si>
    <t>Univ Liverpool, Sch Biol &amp; Earth Sci, Liverpool L3 3AF, Merseyside, England; NERC, Ctr Ecol &amp; Hydrol, Winfrith Technol Ctr, Dorchester DT2 8ZD, Dorset, England; British Antarctic Survey, Nat Environm Res Council, Cambridge CB3 OET, England</t>
  </si>
  <si>
    <t>University of Liverpool; UK Centre for Ecology &amp; Hydrology (UKCEH); UK Research &amp; Innovation (UKRI); Natural Environment Research Council (NERC); UK Research &amp; Innovation (UKRI); Natural Environment Research Council (NERC); NERC British Antarctic Survey</t>
  </si>
  <si>
    <t>Hodkinson, ID (corresponding author), Univ Liverpool, Sch Biol &amp; Earth Sci, Byrom St, Liverpool L3 3AF, Merseyside, England.</t>
  </si>
  <si>
    <t>Convey, Peter/0000-0001-8497-9903; Coulson, Stephen James/0000-0003-0935-959X</t>
  </si>
  <si>
    <t>10.1007/s00300-002-0475-7</t>
  </si>
  <si>
    <t>WOS:000182464900010</t>
  </si>
  <si>
    <t>Second-order feedback and climatic effects determine the dynamics of a small rodent population in a temperate forest of South America</t>
  </si>
  <si>
    <t>POPULATION ECOLOGY</t>
  </si>
  <si>
    <t>longhaired field mouse; population cycles; climate</t>
  </si>
  <si>
    <t>DENSITY-DEPENDENCE; TIME-SERIES; CLETHRIONOMYS RUFOCANUS; VOLE; GRADIENT; CHILE; FLUCTUATIONS; HOKKAIDO; VARIABILITY; PREDATION</t>
  </si>
  <si>
    <t>The multiannual cyclic fluctuations exhibited by arvicoline rodents in the Northern Hemisphere have attracted the attention of population ecologists. However, despite the abundant information on small rodent dynamics in South America, there are no studies reporting cyclic population dynamics. Here, we report evidence of cyclic population dynamics in a South American small rodent, the longhaired field mouse (Abrothrix longipilis) from southern temperate forests in Chile. The time-series analyses showed that longhaired field mice dynamics are better represented by a second-order autoregressive model characterized by 3-year cyclic dynamics. The 3-year cycles are clearly shown in the autocorrelation factor (ACF) pattern and in the dominant frequency of the spectral analysis. In addition, we determined nonlinear effects of the Antarctic Oscillation Index (AAOI). The results shown here pointed out that we need the integration of studies about cyclic small rodent populations from the different continents and beyond the Northern Hemisphere to resolve the enigma underlying the cyclic population dynamics exhibited by many small rodent species.</t>
  </si>
  <si>
    <t>Pontificia Univ Catolica Chile, Ctr Estudios Avanzados Ecol &amp; Biodiversidad, Dept Ecol, Santiago 6513677, Chile; Univ Austral Chile, Fac Ciencias, Inst Ecol &amp; Evoluc, Valdivia, Chile</t>
  </si>
  <si>
    <t>Pontificia Universidad Catolica de Chile; Universidad Austral de Chile</t>
  </si>
  <si>
    <t>Lima, M (corresponding author), Pontificia Univ Catolica Chile, Ctr Estudios Avanzados Ecol &amp; Biodiversidad, Dept Ecol, Casilla 114-D, Santiago 6513677, Chile.</t>
  </si>
  <si>
    <t>1438-3896</t>
  </si>
  <si>
    <t>POPUL ECOL</t>
  </si>
  <si>
    <t>Popul. Ecol.</t>
  </si>
  <si>
    <t>10.1007/s10144-003-0135-y</t>
  </si>
  <si>
    <t>696DA</t>
  </si>
  <si>
    <t>WOS:000183869600003</t>
  </si>
  <si>
    <t>Roscoe, HK; Colwell, SR; Shanklin, JD</t>
  </si>
  <si>
    <t>Stratospheric temperatures in Antarctic winter: Does the 40-year record confirm midlatitude trends in stratospheric water vapour?</t>
  </si>
  <si>
    <t>Brewer-Dobson circulation; greenhouse effect; lower stratosphere; ozone</t>
  </si>
  <si>
    <t>OZONE HOLE; TROPOPAUSE TEMPERATURES; TROPICAL TROPOPAUSE; CLIMATE; AEROSOL; IMPACT; MODEL</t>
  </si>
  <si>
    <t>Water vapour is a potent greenhouse gas, and the observed increases in water vapour in the stratosphere act to cool it. Possible changes in stratospheric temperatures are important for future ozone loss because colder temperatures in the edge region of the Antarctic ozone hole act to increase polar stratospheric clouds there, and so delay recovery of the ozone hole. Trends in lower-stratospheric temperature within the core of the Antarctic vortex in winter should be a unique indicator of trends in stratospheric water vapour, because neither changes in CO2 nor in ozone have a large effect on temperature in the lower stratosphere in the dark. Here, measured stratospheric temperatures southward of 70 S in winter are presented and their quality and corrections discussed. The character and magnitude of the long-term changes at Halley (76 S) are similar from 100 to 70 hPa and at 50 hPa, whether corrected for sonde changes or not, and are also similar to those at other Antarctic sites. We found no significant trend in temperatures at Halley between 1960 and 2000, which is inconsistent with the change calculated from the trend in lower-stratospheric water vapour in northern hemisphere midlatitudes between 1960 and 2000. Over the shorter interval between 1980 and 2000 at Halley, the change in temperature was -1.8 +/- 0.6 K, in agreement with the change calculated from the trend in stratospheric water vapour in northern hemisphere midlatitudes between 1980 and 2000. The differences between these periods are discussed in terms of: possible fortuitous agreement between 1980 and 2000; the poorer representation and quality of the measurements of stratospheric water vapour between 1960 and 1980; and a possible large variation in the rate of oxidation of CH4 to H2O in the upper stratosphere between 1960 and 1980. Such a variation in oxidation rate was observed by satellite between 1992 and 1999.</t>
  </si>
  <si>
    <t>Roscoe, HK (corresponding author), British Antarctic Survey, NERC, Madingley Rd, Cambridge CB3 0ET, England.</t>
  </si>
  <si>
    <t>HKRO@bas.ac.uk</t>
  </si>
  <si>
    <t>10.1256/qj.02.173</t>
  </si>
  <si>
    <t>692XT</t>
  </si>
  <si>
    <t>WOS:000183686100001</t>
  </si>
  <si>
    <t>Paldor, N; Sigalov, A; Nof, D</t>
  </si>
  <si>
    <t>The mechanics of eddy transport from one hemisphere to the other</t>
  </si>
  <si>
    <t>AABW transport; cross-equatorial flow; non-integrable Hamiltonian dynamics</t>
  </si>
  <si>
    <t>ABYSSAL CIRCULATION; WORLD OCEAN; MOTION</t>
  </si>
  <si>
    <t>The trajectory of a dense eddy propagating along the bottom of a meridional channel of parabolic cross-section from the southern to the northern hemisphere is described by a Hamiltonian system with two degrees of freedom. Two simplified types of motion exist in which the meridional acceleration vanishes: in midlatitudes the motion is geostrophic, poleward (equatorward) directed along the western (eastern) flank of the channel, while on the equator the motion consists of zonal oscillations along the potential-well generated by the bottom parabolic cross-section of the channel. The eddy's propagation along the equator is much faster than that in midlatitudes, which enhances its dissipation via mixing with the overlying ocean water. For motions that occur slightly off the equator the eastward segment is stable while the westward segment is unstable, so an expulsion from the equatorial regime takes place during the latter. A dense eddy that arrives near the equator along the west flank of the channel, has to cross the channel to its east flank where it can either oscillate back (westward) to the other side, or move poleward from the equator along the channel's east flank. The eddy's dissipation during the equatorial part of its trajectory is very large, and the probability of the dissipated eddy leaving the equator to either hemisphere is identical. The non-integrability of the system is manifested in the sensitive combination of the equatorial and the midlatitude regimes that renders the dynamics of the transport of dense eddies across the equator chaotic. This description explains both the sharp decrease in the amount of Antarctic bottom water mass in the immediate vicinity of the equator in the western Atlantic Ocean and the 'splitter' effect of the equator. This effect, encountered in earlier fluid dynamical numerical simulations, causes a current, and a cloud of particles, to chaotically split into two parts flowing in different hemispheres.</t>
  </si>
  <si>
    <t>Hebrew Univ Jerusalem, Inst Earth Sci, IL-91904 Jerusalem, Israel; Florida State Univ, Sch Oceanog, Tallahassee, FL 32306 USA</t>
  </si>
  <si>
    <t>Hebrew University of Jerusalem; State University System of Florida; Florida State University</t>
  </si>
  <si>
    <t>Hebrew Univ Jerusalem, Inst Earth Sci, IL-91904 Jerusalem, Israel.</t>
  </si>
  <si>
    <t>nathan.paldor@huji.ac.il</t>
  </si>
  <si>
    <t>paldor, nathan/AAE-3186-2020</t>
  </si>
  <si>
    <t>10.1256/qj.02.157</t>
  </si>
  <si>
    <t>WOS:000183686100014</t>
  </si>
  <si>
    <t>Poole, I; Mennega, AMW; Cantrill, DJ</t>
  </si>
  <si>
    <t>Valdivian ecosystems in the Late Cretaceous and Early Tertiary of Antarctica: further evidence from myrtaceous and eucryphiaceous fossil wood</t>
  </si>
  <si>
    <t>Cretaceous; Tertiary; Antarctica; fossil wood; Valdivia</t>
  </si>
  <si>
    <t>GONDWANAN POLAR FORESTS; KING GEORGE ISLAND; ALEXANDER-ISLAND; SEYMOUR ISLAND; NORTH-AMERICA; 1ST RECORD; ARC BASIN; EOCENE; CUNONIACEAE; POLLEN</t>
  </si>
  <si>
    <t>Cool temperate rainforests growing on the flanks of the Andes and along the Coastal Range in Valdivia (Chile) today provide the closest analogue for the fossil floras of Antarctica during the Eocene. This paper records key Valdivian elements in a Maastrichtian to Eocene wood flora that extends the evidence for a Valdivian analogue back as far as possibly the Late Cretaceous. Here we record the first occurrences of myrtaceous and eucryphiaceous wood taxa from the Maastrichtian-Palaeocene sediments of the James Ross Basin. In addition, a previously unrecorded morphotype is described and assigned to the form genus Antarctoxylon which Poole and Cantrill erected for fossil angiosperm woods of Antarctica with uncertain taxonomic affinities. This increases the number and range of the described morphotypes from the Antarctic Peninsula and helps further our understanding of the southern high latitude angiosperm dominated floras. (C) 2003 Elsevier Science B.V. All rights reserved.</t>
  </si>
  <si>
    <t>Univ Utrecht Branch, Natl Herbarium Netherlands, Wood Anat Sect, NL-3585 CS Utrecht, Netherlands; Swedish Museum Nat Hist, Dept Palaeobot, S-10405 Stockholm, Sweden</t>
  </si>
  <si>
    <t>Utrecht University; Swedish Museum of Natural History</t>
  </si>
  <si>
    <t>Univ Utrecht Branch, Natl Herbarium Netherlands, Wood Anat Sect, POB 80102, NL-3585 CS Utrecht, Netherlands.</t>
  </si>
  <si>
    <t>i.poole@geo.uu.nl</t>
  </si>
  <si>
    <t>Cantrill, David/R-1415-2019</t>
  </si>
  <si>
    <t>Cantrill, David/0000-0002-1185-4015</t>
  </si>
  <si>
    <t>PII S0034-6667(02)00244-0</t>
  </si>
  <si>
    <t>10.1016/S0034-6667(02)00244-0</t>
  </si>
  <si>
    <t>666EH</t>
  </si>
  <si>
    <t>WOS:000182163500002</t>
  </si>
  <si>
    <t>Liu, XH; Zhao, Y; Liu, XC; Yu, LJ</t>
  </si>
  <si>
    <t>Geology of the Grove Mountains in East Antarctica - New evidence for the final suture of Gondwana Land</t>
  </si>
  <si>
    <t>East Antarctic Shield; Grove Mountains; Pan-African Orogen; Gondwana Land; final suture</t>
  </si>
  <si>
    <t>PRYDZ BAY AREA; LARSEMANN-HILLS; MOZAMBIQUE BELT; WEST GONDWANA; MOBILE BELT; RAUER GROUP; SRI-LANKA; METAMORPHISM; DEFORMATION; GRANULITES</t>
  </si>
  <si>
    <t>Grove Mountains consists mainly of a series of high-grade (upper amphibolite to granulite facies) metamorphic rocks, including felsic granulite, granitic gneiss, mafic granulite lenses and charnockite, intruded by late tectonic gneissic granite and post-tectonic granodioritic veins. Geochemical analysis demonstrates that the charnockite, granitic gneiss and granite belonged to aluminous A type plutonic rocks, whereas the felsic and mafic granulite were from supracrustal materials as island-arc, oceanic island and middle oceanic ridge basalt. A few high-strained shear zones disperse in regional stable sub-horizontal foliated metamorphic rocks. Three generations of ductile deformation were identified, in which D, is related to the event before Pan-African age, D-2 corresponds to the regional granulite peak metamorphism, whereas D-3 reflects ductile extension in late Pan-African orogenic period. The metamorphic reactions from granitic gneiss indicate a single granulite facies event, but 3 steps from mafic granulite, with P-T condition of M, 800degreesC, 9.3 X 10(5) Pa; M-2 800-810degreesC, 6.4 X 10(5) Pa; and M-3 650degreesC have been recognized. The U-Pb age data from representative granitic gneiss indicate (529+/-14) Ma of peak metamorphism, (534 5) Ma of granite emplacement, and (501 7) Ma of post-tectonic granodioritic veins. All these evidences suggest that a huge Pan-African aged mobile belt exists in the East Antarctic Shield extending from Prydz Bay via Grove Mountains to the southern Prince Charles Mountains. This orogenic belt could be the final suture during the Gondwana Land assemblage.</t>
  </si>
  <si>
    <t>Chinese Acad Sci, Inst Geol &amp; Geophys, Lab Lithosphere Tecton Evolut, Beijing 100029, Peoples R China; Chinese Acad Geol Sci, Inst Geomech, Beijing 100081, Peoples R China</t>
  </si>
  <si>
    <t>Chinese Academy of Sciences; Institute of Geology &amp; Geophysics, CAS; China Geological Survey; Institute of Geomechanics, Chinese Academy of Geological Sciences; Chinese Academy of Geological Sciences</t>
  </si>
  <si>
    <t>Liu, XH (corresponding author), Chinese Acad Sci, Inst Geol &amp; Geophys, Lab Lithosphere Tecton Evolut, Beijing 100029, Peoples R China.</t>
  </si>
  <si>
    <t>xhliu@public3.bta.net.cn</t>
  </si>
  <si>
    <t>Yiming, Liu/GYJ-8249-2022</t>
  </si>
  <si>
    <t>659RN</t>
  </si>
  <si>
    <t>WOS:000181791400001</t>
  </si>
  <si>
    <t>Capasso, C; Carginale, V; Crescenzi, O; Di Maro, D; Parisi, E; Spadaccini, R; Temussi, PA</t>
  </si>
  <si>
    <t>Solution structure of MT-nc, a novel metallothionein from the Antarctic fish Notothenia coriiceps</t>
  </si>
  <si>
    <t>STRUCTURE</t>
  </si>
  <si>
    <t>Antarctic fish; electrostatic potential; ion exchange; NMR; poikilotherm organism; zinc homeostasis</t>
  </si>
  <si>
    <t>NUCLEAR-MAGNETIC-RESONANCE; 3-DIMENSIONAL SOLUTION STRUCTURE; NMR-SPECTROSCOPY; COUPLING-CONSTANTS; MESSENGER-RNA; METAL-BINDING; HOMONUCLEAR; PROGRAM; DYNAMICS; PROTEIN</t>
  </si>
  <si>
    <t>The structure of [Cd-113(7)]-metallothionein (MT_nc)of the Antarctic fish Notothenia coriiceps, the first three-dimensional structure of a fish metallothionein, was determined by homonuclear H-1 NMR experiments and heteronuclear [H-1, Cd-113]-correlation spectroscopy. MT_nc is composed of an N-terminal beta domain with 9 cysteines and 3 metal ions and a carboxy-terminal alpha-domain with I I cysteines and 4 metal ions. The position of the ninth Cys of the alpha domain of MT_nc is different from the corresponding Cys of mammalian MTs. As a result, the last CXCC motif in the mammalian MT sequence becomes CXXXCC in the fish MT. This difference leads to a structural change of the alpha domain and, in turn, to a different charge distribution with respect to that observed in mammalian metallothioneins.</t>
  </si>
  <si>
    <t>CNR, Inst Prot Biochem, I-80125 Naples, Italy; Univ Naples Federico II, Dept Chem, I-80126 Naples, Italy; BIOMODEM pscrl, I-53100 Siena, Italy; Natl Inst Med Res, Med Res Council, London NW7 1AA, England</t>
  </si>
  <si>
    <t>Consiglio Nazionale delle Ricerche (CNR); Istituto di Biochimica delle Proteine (IBP-CNR); University of Naples Federico II; MRC National Institute for Medical Research; UK Research &amp; Innovation (UKRI); Medical Research Council UK (MRC)</t>
  </si>
  <si>
    <t>pat@chemistry.unina.it</t>
  </si>
  <si>
    <t>Temussi, Piero A/N-5830-2017; CAPASSO, CLEMENTE/P-3522-2016; Carginale, Vincenzo/N-2531-2014</t>
  </si>
  <si>
    <t>CAPASSO, CLEMENTE/0000-0003-3314-2411; Carginale, Vincenzo/0000-0002-1842-494X; SPADACCINI, Roberta/0000-0002-2262-1065</t>
  </si>
  <si>
    <t>CELL PRESS</t>
  </si>
  <si>
    <t>50 HAMPSHIRE ST, FLOOR 5, CAMBRIDGE, MA 02139 USA</t>
  </si>
  <si>
    <t>0969-2126</t>
  </si>
  <si>
    <t>1878-4186</t>
  </si>
  <si>
    <t>Structure</t>
  </si>
  <si>
    <t>10.1016/S0969-2126(03)00044-3</t>
  </si>
  <si>
    <t>Biochemistry &amp; Molecular Biology; Biophysics; Cell Biology</t>
  </si>
  <si>
    <t>673QJ</t>
  </si>
  <si>
    <t>WOS:000182591400013</t>
  </si>
  <si>
    <t>Kawamura, K; Nakazawa, T; Aoki, S; Sugawara, S; Fujii, Y; Watanabe, O</t>
  </si>
  <si>
    <t>Atmospheric CO2 variations over the last three glacial-interglacial climatic cycles deduced from the Dome Fuji deep ice core, Antarctica using a wet extraction technique</t>
  </si>
  <si>
    <t>TELLUS SERIES B-CHEMICAL AND PHYSICAL METEOROLOGY</t>
  </si>
  <si>
    <t>6th International Carbon Dioxide Conference</t>
  </si>
  <si>
    <t>OCT 01-05, 2001</t>
  </si>
  <si>
    <t>SENDAI, JAPAN</t>
  </si>
  <si>
    <t>CARBON-DIOXIDE; GREENLAND ICE; POLAR ICE; TAYLOR DOME; KYR BP; AIR; RECORD; INCREASE; RATIO; GASES</t>
  </si>
  <si>
    <t>A deep ice core drilled at Dome Fuji, East Antarctica was analyzed for the CO2 concentration using a wet extraction method in order to reconstruct its atmospheric variations over the past 320 kyr, which includes three full glacial-interglacial climatic cycles, with a mean time resolution of about 1.1 kyr. The CO2 concentration values derived for the past 65 kyr are very close to those obtained from other Antarctic ice cores using dry extraction methods, although the wet extraction method is generally thought to be inappropriate for the determination of the CO2 concentration. The comparison between the CO2 and Ca2+ concentrations deduced from the Dome Fuji core suggests that calcium carbonate emitted from lands was mostly neutralized in the atmosphere before reaching the central part of Antarctica, or that only a small part of calcium carbonate was involved in CO2, production during the wet extraction process. The CO2 concentration for the past 320 kyr deduced from the Dome Fuji core varies between 190 and 300 ppmv, showing clear glacial-interglacial variations similar to the result of the Vostok ice core. However, for some periods, the concentration values of the Dome Fuji core are higher by up to 20 ppmv than those of the Vostok core. There is no clear indication that such differences are related to variations of chemical components of Ca2+, microparticle and acidity of the Dome Fuji core.</t>
  </si>
  <si>
    <t>Tohoku Univ, Ctr Atmospher &amp; Ocean Studies, Grad Sch Sci, Sendai, Miyagi 9808578, Japan; Miyagi Univ Educ, Inst Earth Sci, Sendai, Miyagi 9800845, Japan; Natl Inst Polar Res, Itabashi Ku, Tokyo 1738515, Japan</t>
  </si>
  <si>
    <t>Tohoku University; Miyagi University Education; Research Organization of Information &amp; Systems (ROIS); National Institute of Polar Research (NIPR) - Japan</t>
  </si>
  <si>
    <t>Kawamura, K (corresponding author), Univ Bern, Inst Phys, Sidlerstr 5, CH-3012 Bern, Switzerland.</t>
  </si>
  <si>
    <t>Kawamura, Kenji/C-7660-2011</t>
  </si>
  <si>
    <t>Kawamura, Kenji/0000-0003-1163-700X</t>
  </si>
  <si>
    <t>0280-6509</t>
  </si>
  <si>
    <t>TELLUS B</t>
  </si>
  <si>
    <t>Tellus Ser. B-Chem. Phys. Meteorol.</t>
  </si>
  <si>
    <t>10.1034/j.1600-0889.2003.00050.x</t>
  </si>
  <si>
    <t>675ME</t>
  </si>
  <si>
    <t>WOS:000182698400006</t>
  </si>
  <si>
    <t>Leuenberger, MC; Eyer, M; Nyfeler, P; Stauffer, B; Stocker, TF</t>
  </si>
  <si>
    <t>High-resolution δ13C measurements on ancient air extracted from less than 10 cm3 of ice</t>
  </si>
  <si>
    <t>ATMOSPHERIC CO2; ANTARCTIC ICE; CARBON-CYCLE</t>
  </si>
  <si>
    <t>A new method for delta(13)C analysis of very small air amounts of less than 0.5 cm(3) STP was developed. This corresponds to less than 10 g of ice. It is based on the needle-crasher technique, which is routinely used for CO2 concentration measurements by infrared laser absorption. The extracted air is slowly expanded into a large volume through a water trap held at -70 degreesC where the pressure is measured. This sampled air is then carried by a high helium flux through a preconcentration system to separate CO2 cryogenically from the air. The small CO2 amount is then released into a low helium stream which forces the CO2 via an open split device to a mass spectrometer. The overall precision, based on replicates of standard air without crushing, is significantly better than 0.1parts per thousand for a single analysis, and is further improved by a triplicate measurement of the same sample through a specially designed gas splitter. Performing delta(13)C measurements on ice air through the whole system, we reach a reproducibility of 0.12parts per thousand. Additional information is obtained through amplitude vs. pressure ratio determination, which results in a good control of the CO2 concentration (1 ppm precision for 1sigma,). The new method allows us to produce highly resolved records of atmospheric delta(13)C from air enclosed in ice, which is required to better understand the evolution and the temporal variability of the global carbon cycle.</t>
  </si>
  <si>
    <t>Univ Bern, Inst Phys, CH-3012 Bern, Switzerland</t>
  </si>
  <si>
    <t>University of Bern</t>
  </si>
  <si>
    <t>Leuenberger, MC (corresponding author), Univ Bern, Inst Phys, Sidlerstr 5, CH-3012 Bern, Switzerland.</t>
  </si>
  <si>
    <t>Stocker, Thomas F/B-1273-2013; Leuenberger, Markus C/K-9655-2016</t>
  </si>
  <si>
    <t>Leuenberger, Markus C/0000-0003-4299-6793</t>
  </si>
  <si>
    <t>10.1034/j.1600-0889.2003.01463.x</t>
  </si>
  <si>
    <t>WOS:000182698400007</t>
  </si>
  <si>
    <t>Sugawara, S; Kawamura, K; Aoki, S; Nakazawa, T; Hashida, G</t>
  </si>
  <si>
    <t>Reconstruction of past variations of δ13C in atmospheric CO2 from its vertical distribution observed in the firn at Dome Fuji, Antarctica</t>
  </si>
  <si>
    <t>CARBON ISOTOPIC RATIO; GAS CONCENTRATIONS; AGE-DIFFERENCES; GROWTH-RATE; POLAR ICE; AIR; METHANE; DIOXIDE; O-2</t>
  </si>
  <si>
    <t>Temporal variations of delta(13)C of atmospheric CO2 in the past have been reconstructed from the delta(13) C values of CO2 observed in firn at Dome Fuji, Antarctica. The effective diffusivities Of CO2 in firn were estimated for Dome Fuji and another Antarctic site, H72. The age distributions of (CO2)-C-13 in firn were first calculated by using a one-dimensional diffusion model, and then the past values of the atmospheric delta(13)C were derived by using an iterative procedure so that the calculated and observed vertical profiles of delta(13)C of CO2, in firn agreed with each other. This reconstruction method was also applied to the CH4 concentration to confirm its validity. The values of the atmospheric delta(13)C thus estimated were in good agreement with those from direct atmospheric measurements at Syowa Station, Antarctica, even for the levelling off of the secular decrease observed in the first half of the 1990s. The statistical uncertainty of the iterative procedure was examined by adding normal pseudo-random numbers to the observed delta(13)C values in firn. We also calculated the delta(13)C values for firn at H72 using the reconstructed history of the atmospheric delta(13)C, and its vertical profile was found to be in close agreement with the observational result.</t>
  </si>
  <si>
    <t>Miyagi Univ Educ, Inst Earth Sci, Sendai, Miyagi 9800845, Japan; Tohoku Univ, Ctr Atmospher &amp; Ocean Studies, Sendai, Miyagi 9808578, Japan; Natl Inst Polar Res, Tokyo 1738515, Japan</t>
  </si>
  <si>
    <t>Miyagi University Education; Tohoku University; Research Organization of Information &amp; Systems (ROIS); National Institute of Polar Research (NIPR) - Japan</t>
  </si>
  <si>
    <t>Sugawara, S (corresponding author), Miyagi Univ Educ, Inst Earth Sci, Sendai, Miyagi 9800845, Japan.</t>
  </si>
  <si>
    <t>sugawara@staff.miyakyo-u.ac.jp</t>
  </si>
  <si>
    <t>CO-ACTION PUBLISHING</t>
  </si>
  <si>
    <t>JARFALLA</t>
  </si>
  <si>
    <t>RIPVAGEN 7, JARFALLA, SE-175 64, SWEDEN</t>
  </si>
  <si>
    <t>10.1034/j.1600-0889.2003.00023.x</t>
  </si>
  <si>
    <t>WOS:000182698400009</t>
  </si>
  <si>
    <t>Morimoto, S; Nakazawa, T; Aoki, S; Hashida, G; Yamanouchi, T</t>
  </si>
  <si>
    <t>Concentration variations of atmospheric CO2 observed at Syowa Station, Antarctica from 1984 to 2000</t>
  </si>
  <si>
    <t>CARBON-DIOXIDE; LATITUDINAL DISTRIBUTION; DELTA-C-13; SINKS; CYCLE</t>
  </si>
  <si>
    <t>Systematic and continuous measurements of the atmospheric CO2 concentration have been carried out at Syowa Station, Antarctica since February 1984. The measurement system was renewed in 1995, but the continuity of the data from the two systems was confirmed by operating them simultaneously. The CO2 data taken for 17 years from 1984 to 2000 showed clear evidence for a seasonal cycle, a secular trend and interannual variations. The seasonal cycle was variable from year to year, with especially larger amplitudes in 1992 and 1998 and a large phase delay in 1993. A rapid increase in the CO? concentration was observed in 1987, 1994 and 1998 in association with ENSO events. The average rate of the secular CO2 increase for the last 17 years was calculated to be 1.49 ppmv yr(-1). Short-term CO2 variations with amplitudes of around 1.0 ppmv were found in the austral summer season of several years after 1990, probably due to an intrusion Of CO2-depleted air mass into the Antarctic region.</t>
  </si>
  <si>
    <t>Natl Inst Polar Res, Itabashi Ku, Tokyo 1738515, Japan; Tohoku Univ, Ctr Atmospher &amp; Ocean Studies, Aoba Ku, Sendai, Miyagi 9808578, Japan</t>
  </si>
  <si>
    <t>Research Organization of Information &amp; Systems (ROIS); National Institute of Polar Research (NIPR) - Japan; Tohoku University</t>
  </si>
  <si>
    <t>Morimoto, S (corresponding author), Natl Inst Polar Res, Itabashi Ku, 1-9-10 Kaga, Tokyo 1738515, Japan.</t>
  </si>
  <si>
    <t>mon@nipr.ac.jp</t>
  </si>
  <si>
    <t>Yamanouchi, Takashi/P-2041-2015; Morimoto, Shinji/GQR-1817-2022</t>
  </si>
  <si>
    <t>1600-0889</t>
  </si>
  <si>
    <t>10.1034/j.1600-0889.2003.01471.x</t>
  </si>
  <si>
    <t>WOS:000182698400010</t>
  </si>
  <si>
    <t>Roy, T; Rayner, P; Matear, R; Francey, R</t>
  </si>
  <si>
    <t>Southern hemisphere ocean CO2 uptake:: reconciling atmospheric and oceanic estimates</t>
  </si>
  <si>
    <t>ANTHROPOGENIC CO2; CARBON-DIOXIDE; SINKS; CYCLE; DELTA-C-13; TRANSPORT; FLUXES; LAND</t>
  </si>
  <si>
    <t>Using an atmospheric inversion model we investigate the southern hemisphere ocean CO2 uptake. From sensitivity studies that varied both the initial ocean flux distribution and the atmospheric data used in the inversion, our inversion predicted a total (ocean and land) uptake of 1.65-1.90 Gt C yr(-1). We assess the consistency between the mean southern hemisphere ocean uptake predicted by an atmospheric inversion model for the 1991-1997 period and the T99 ocean flux estimate based on observed DeltapCO(2) in Takahashi et al. (2002; Deep-Sea Res II, 49, 1601-1622). The inversion can not match the large 1.8 Gt C yr(-1) southern extratropical (20-90degreesS) uptake of the T99 ocean flux estimate without producing either unreasonable land fluxes in the southern mid-latitudes or by increasing the mismatches between observed and simulated atmospheric CO2 data. The southern extratropical uptake is redistributed between the mid and high latitudes. Our results suggest that the T99 estimate of the Southern Ocean uptake south of 50degreesS is too large, and that the discrepancy reflects the inadequate representation of wintertime conditions in the T99 estimate.</t>
  </si>
  <si>
    <t>Antarctic Cooperat Res Ctr, Hobart, Tas 7001, Australia; CSIRO, Atmospher Res, Aspendale, Vic 3195, Australia; CSIRO, Marine Res, Hobart, Tas 7001, Australia</t>
  </si>
  <si>
    <t>Commonwealth Scientific &amp; Industrial Research Organisation (CSIRO); Commonwealth Scientific &amp; Industrial Research Organisation (CSIRO)</t>
  </si>
  <si>
    <t>Roy, T (corresponding author), Antarctic Cooperat Res Ctr, GPO Box 252-80, Hobart, Tas 7001, Australia.</t>
  </si>
  <si>
    <t>Francey, Roger J/A-2345-2012; matear, richard/C-5133-2011</t>
  </si>
  <si>
    <t>Rayner, Peter/0000-0001-7707-6298; matear, richard/0000-0002-3225-0800</t>
  </si>
  <si>
    <t>10.1034/j.1600-0889.2003.00058.x</t>
  </si>
  <si>
    <t>WOS:000182698400053</t>
  </si>
  <si>
    <t>Monaghan, AJ; Bromwich, DH; Wei, HL; Cayette, AM; Powers, JG; Kuo, YH; Lazzara, MA</t>
  </si>
  <si>
    <t>Performance of weather forecast models in the rescue of Dr. Ronald Shemenski from the South Pole in April 2001</t>
  </si>
  <si>
    <t>KATABATIC WINDS; MM5 SIMULATIONS; MESOSCALE; GREENLAND; SYSTEM</t>
  </si>
  <si>
    <t>In late April 2001, an unprecedented late-season flight to Amundsen-Scott South Pole Station was made in the evacuation of Dr. Ronald Shemenski, a medical doctor seriously ill with pancreatitis. This case study analyzes the performance of four of the numerical weather prediction models that aided meteorologists in forecasting weather throughout the operation: 1) the Antarctic Mesoscale Prediction System (AMPS) Polar MM5 (fifth-generation Pennsylvania State University-National Center for Atmospheric Research Mesoscale Model), 2) the National Centers for Environmental Prediction Aviation Model (AVN), 3) the European Centre for Medium-Range Weather Forecasts (ECMWF) global forecast model, and 4) the NCAR Global MM5. To identify specific strengths and weaknesses, key variables for each model are statistically analyzed for all forecasts initialized between 21 and 25 April for several points over West Antarctica at the surface and at 500- and 700-hPa levels. The ECMWF model performs with the highest overall skill, generally having the lowest bias and rms errors and highest correlations for the examined fields. The AMPS Polar MM5 exhibits the next best skill, followed by AVN and Global MM5. For the surface variables, all of the models show high skill in predicting surface pressure but demonstrate modest skill in predicting temperature, wind speed, and wind direction. In the free atmosphere, the models show high skill in forecasting geopotential height, considerable skill in predicting temperature and wind direction, and good skill in predicting wind speed. In general, the models produce very useful forecasts in the free atmosphere, but substantial efforts are still needed to improve the surface prediction. The spatial resolution of each model exerts an important influence on forecast accuracy, especially in the complex topography of the Antarctic coastal regions. The initial and boundary conditions for the AMPS Polar MM5 exert a significant influence on forecasts.</t>
  </si>
  <si>
    <t>Ohio State Univ, Byrd Polar Res Ctr, Polar Meteorol Grp, Columbus, OH 43210 USA; Ohio State Univ, Dept Geog, Atmospher Sci Program, Columbus, OH 43210 USA; SPAWAR Syst Ctr, Charleston, SC USA; Natl Ctr Atmospher Res, Mesoscale &amp; Microscale Meteorol Div, Boulder, CO 80307 USA; Univ Wisconsin, Ctr Space Sci &amp; Engn, Antarctic Meteorol Res Ctr, Madison, WI 53706 USA</t>
  </si>
  <si>
    <t>University System of Ohio; Ohio State University; University System of Ohio; Ohio State University; Naval Information Warfare Center Pacific; National Center Atmospheric Research (NCAR) - USA; University of Wisconsin System; University of Wisconsin Madison</t>
  </si>
  <si>
    <t>Ohio State Univ, Byrd Polar Res Ctr, Polar Meteorol Grp, 1090 Carmack Rd, Columbus, OH 43210 USA.</t>
  </si>
  <si>
    <t>monaghan@polarmet1.mps.ohio-state.edu</t>
  </si>
  <si>
    <t>Bromwich, David H/C-9225-2016</t>
  </si>
  <si>
    <t>Monaghan, Andrew/0000-0002-8170-2359; Lazzara, Matthew/0000-0002-4343-498X</t>
  </si>
  <si>
    <t>1520-0434</t>
  </si>
  <si>
    <t>10.1175/1520-0434(2003)018&lt;0142:POWFMI&gt;2.0.CO;2</t>
  </si>
  <si>
    <t>671EL</t>
  </si>
  <si>
    <t>WOS:000182452300002</t>
  </si>
  <si>
    <t>Gimeno, L; Vidal, O; Nieto, R; de la Torre, L; García, R; Hernández, E; Bojariu, R; Ribera, P; Gallego, D</t>
  </si>
  <si>
    <t>Impact of the extratropical dynamical modes upon troposphere temperature using an approach based on advection of temperature</t>
  </si>
  <si>
    <t>advection of temperature; Arctic oscillation; Antarctic oscillation</t>
  </si>
  <si>
    <t>NORTH-ATLANTIC OSCILLATION; SINGULAR-SPECTRUM ANALYSIS; ANNULAR MODES; TIME-SERIES; VARIABILITY; CIRCULATION; TRENDS</t>
  </si>
  <si>
    <t>Advection of temperature (AT) is used to diagnose the influence of changes in extratropical atmospheric circulation on air temperature. AT is calculated at three different pressure levels (850, 500 and 200 hPa) for the period 1958-98 using NCEP-NCAR reanalysis data. Global and hemispheric annual series of AT have a common feature consisting of positive values and trends at 850 and 500 hPa and negative values and trends at 200 hPa, together with quasi-biennial and quasi-quadrennial oscillations for most of the series. Significant correlations were found between most of the Northern Hemisphere and global AT series with the Arctic oscillation and between most of the Southern Hemisphere and global AT series with the Antarctic oscillation. Copyright (C) 2003 Royal Meteorological Society.</t>
  </si>
  <si>
    <t>Univ Vigo, Dept Fis Aplicada, Orense 32004, Spain; Univ Complutense Madrid, Dept Fis Atmosfera, E-28040 Madrid, Spain; Inst Natl Meteorol Hidrol Sos, Bucharest 71552, Romania; Univ Pablo Olavide, Dept Ciencias Ambientales, Seville, Spain</t>
  </si>
  <si>
    <t>Universidade de Vigo; Complutense University of Madrid; Universidad Pablo de Olavide</t>
  </si>
  <si>
    <t>Gimeno, L (corresponding author), Univ Vigo, Dept Fis Aplicada, Orense 32004, Spain.</t>
  </si>
  <si>
    <t>l.gimeno@uvigo.es</t>
  </si>
  <si>
    <t>Ribera, Pedro/K-4479-2014; Gallego, David/F-4123-2016; Bojariu, Roxana/C-1999-2009; Nieto, Raquel/AAT-8925-2020; de la Torre, Laura/Y-3723-2019; GIMENO, LUIS/B-8137-2008</t>
  </si>
  <si>
    <t>Ribera, Pedro/0000-0002-6432-1554; Bojariu, Roxana/0000-0003-3596-7556; Nieto, Raquel/0000-0002-8984-0959; de la Torre, Laura/0000-0001-5305-6946; Gallego Puyol, David/0000-0002-2082-4125; GIMENO, LUIS/0000-0002-0778-3605</t>
  </si>
  <si>
    <t>MAR 30</t>
  </si>
  <si>
    <t>10.1002/joc.885</t>
  </si>
  <si>
    <t>663KD</t>
  </si>
  <si>
    <t>WOS:000182004000003</t>
  </si>
  <si>
    <t>Oppenheimer, C</t>
  </si>
  <si>
    <t>Ice core and palaeoclimatic evidence for the timing and nature of the great mid-13th century volcanic eruption</t>
  </si>
  <si>
    <t>volcanic eruption; 1257; 1258; GISP2; tree rings; Baitoushan; Kuwae</t>
  </si>
  <si>
    <t>EXPLOSIVE VOLCANISM; MOUNT MAZAMA; EXSOLVED GAS; SULFUR; GREENLAND; RECORDS; AD; TEMPERATURE; VARIABILITY; HOLOCENE</t>
  </si>
  <si>
    <t>Ice cores from both the Arctic and Antarctic record a massive volcanic eruption in around AD 1258. The inter-hemispheric transport of ash and sulphate aerosol suggests a low-latitude explosive eruption, but the volcano responsible is not known. This is remarkable given estimates of the magnitude of the event, which range up to 5 x 10(14) -2 x 10(15) kg (similar to200-800 km(3) of dense magma), which would make this the largest eruption of the historic period, and one of the very largest of the Holocene. The associated collapse caldera could have had a diameter up to 10-30 km. Palaeoclimate reconstructions indicate very cold austral and boreal summers in AD 1257-59, consistent with known patterns of continental summer cooling following tropical, sulphur-rich explosive eruptions. This suggests an eruption in AD 1257, producing a stronger climate forcing than hitherto recognized. Copyright (C) 2003 Royal Meteorological Society.</t>
  </si>
  <si>
    <t>Univ Cambridge, Dept Geog, Cambridge CB2 3EN, England</t>
  </si>
  <si>
    <t>University of Cambridge</t>
  </si>
  <si>
    <t>Univ Cambridge, Dept Geog, Downing Pl, Cambridge CB2 3EN, England.</t>
  </si>
  <si>
    <t>co200@cam.ac.uk</t>
  </si>
  <si>
    <t>Oppenheimer, Clive/G-9881-2013</t>
  </si>
  <si>
    <t>Oppenheimer, Clive/0000-0003-4506-7260</t>
  </si>
  <si>
    <t>10.1002/joc.891</t>
  </si>
  <si>
    <t>WOS:000182004000005</t>
  </si>
  <si>
    <t>Ferris, JK; Storey, BC; Vaughan, APM; Kyle, PR; Jones, PC</t>
  </si>
  <si>
    <t>The Dufek and Forrestal intrusions, Antarctica: A centre for Ferrar Large Igneous Province dike emplacement?</t>
  </si>
  <si>
    <t>TRIPLE JUNCTION; GONDWANA; BREAKUP</t>
  </si>
  <si>
    <t>[1] Newly acquired aeromagnetic data indicate the presence of a dike swarm that may have acted as a magma transport and feeder system from the plume impact site up to 3,500 km to the Ferrar Large Igneous Province (FLIP). The Dufek and Forrestal intrusions, cover approximately 6,600 km2, and may form a ponding station between a mantle superplume responsible for Gondwana breakup and the FLIP sills and lavas along the Transantarctic Mountains into Tasmania and New Zealand. Prior to this survey, no feeder dike swarms or sills connecting with the Ferrar have been found in the Pensacola Mountains. Similarities with the Mackenzie dikes and intrusions of Northwest Canada imply that Jurassic dikes may have been emplaced into the pre-existing Ross orogeny trend during doming above a mantle plume. However, our survey area is too small to show the dikes convincingly radiating from a focal point that would indicate the plume position.</t>
  </si>
  <si>
    <t>British Antarctic Survey, Cambridge CB3 OET, England; Univ Canterbury, Christchurch 1, New Zealand; New Mexico Inst Min &amp; Technol, Socorro, NM 87801 USA</t>
  </si>
  <si>
    <t>UK Research &amp; Innovation (UKRI); Natural Environment Research Council (NERC); NERC British Antarctic Survey; University of Canterbury; New Mexico Institute of Mining Technology</t>
  </si>
  <si>
    <t>Ferris, JK (corresponding author), Reynolds Geosci Ltd, 2 Long Barn,Pistyll Farm, Mold CH7 4EW, Flintshire, Wales.</t>
  </si>
  <si>
    <t>MAR 29</t>
  </si>
  <si>
    <t>10.1029/2002GL016719</t>
  </si>
  <si>
    <t>677PW</t>
  </si>
  <si>
    <t>WOS:000182817600007</t>
  </si>
  <si>
    <t>Fichefet, T; Tartinville, B; Goosse, H</t>
  </si>
  <si>
    <t>Antarctic sea ice variability during 1958-1999: A simulation with a global ice-ocean model</t>
  </si>
  <si>
    <t>Antarctic sea ice variability; global sea ice-ocean model; sea ice extent; drift and thickness; Southern Ocean</t>
  </si>
  <si>
    <t>FRESH-WATER FLUX; SEMIANNUAL OSCILLATION; THICKNESS DISTRIBUTION; SOUTHERN-OCEAN; WEDDELL SEA; SURFACE PRESSURE; AIR-TEMPERATURE; ANNUAL CYCLE; SENSITIVITY; CIRCULATION</t>
  </si>
  <si>
    <t>[1] A hindcast simulation is carried out with a global ice-ocean model driven by the National Centers for Environmental Prediction (NCEP)-National Center for Atmospheric Research (NCAR) reanalysis daily surface air temperatures and winds in order to document the variability of the Antarctic sea ice cover during 1958-1999. The model consists of an ocean general circulation model coupled to a thermodynamic-dynamic sea ice model with viscous-plastic rheology. Its horizontal resolution is of 1.5degrees x 1.5degrees. Both the mean state and variability of the Antarctic ice pack over the satellite observing period are reasonably well reproduced by the model. In particular, from November 1978 to September 1998, the model produces an overall increasing trend in ice area (defined as the total area of ice-covered ocean) of 11,400 +/- 2300 km(2) yr(-1), which falls within the range of current uncertainty. The model annual mean, area-averaged ice thickness displays no significant trend over 1958-1999. In contrast, a retreat of the pack is simulated during the second half of the 1970s and the beginning of the 1980s, leading to a loss of ice cover of roughly 0.5 x 10(6) km(2) between 1958-1976 and 1982-1999. The marked weakening of the Antarctic semiannual oscillation that occurred since the mid-to-late 1970s seems to be partially responsible for this behavior. Part of the modeled decline might however be spurious and due to the 1979 change in the observing systems utilized in the NCEP-NCAR reanalysis. The simulation also reveals a pronounced decadal variability (8-10 years) in both ice area and thickness. Locally, the changes in ice thickness can reach 1 m during a particular cycle.</t>
  </si>
  <si>
    <t>Catholic Univ Louvain, Inst Astron &amp; Geophys Georges Lemaitre, B-1348 Louvain, Belgium</t>
  </si>
  <si>
    <t>Catholic Univ Louvain, Inst Astron &amp; Geophys Georges Lemaitre, B-1348 Louvain, Belgium.</t>
  </si>
  <si>
    <t>fichefet@astr.ucl.ac.be; tartin@numeca.be; hgs@astr.ucl.ac.be</t>
  </si>
  <si>
    <t>C3</t>
  </si>
  <si>
    <t>10.1029/2001JC001148</t>
  </si>
  <si>
    <t>677QP</t>
  </si>
  <si>
    <t>WOS:000182819300001</t>
  </si>
  <si>
    <t>Kishore, P; Namboothiri, SP; Igarashi, K; Murayama, Y; Vincent, RA; Dowdy, A; Murphy, DJ; Watkins, BJ</t>
  </si>
  <si>
    <t>Further evidence of hemispheric differences in the MLT mean wind climatology:: Simultaneous MF radar observations at Poker Flat (65°N, 147°W) and Davis (69°S, 78°E) -: art. no. 1336</t>
  </si>
  <si>
    <t>LOWER THERMOSPHERE; SOUTH-POLE; MESOSPHERE; WAVE; ANTARCTICA; REGION; TIDES</t>
  </si>
  <si>
    <t>Results of a comparative study of the wind fields in the mesosphere and lower thermosphere over Poker Flat (65degreesN, 147degreesW) and Davis (69degrees S, 78degreesE) are presented. The study utilized the MF radar wind data collected simultaneously during the period 1999-2000. Mean winds during this period are examined to study the hemispheric features. Emphasis has been given to the climatological variations over these two high-latitude stations. The results suggest large hemispheric differences in the mean circulation. Further, the observed mean wind characteristics are compared with results obtained from other high-latitude stations.</t>
  </si>
  <si>
    <t>Commun Res Labs, Tokyo 1848795, Japan; Univ Adelaide, Dept Phys &amp; Math Phys, Adelaide, SA 5005, Australia; Australian Antarctic Div, Kingston, Tas 7050, Australia; Univ Alaska, Inst Geophys, Fairbanks, AK 99775 USA</t>
  </si>
  <si>
    <t>National Institute of Information &amp; Communications Technology (NICT) - Japan; University of Adelaide; Australian Antarctic Division; University of Alaska System; University of Alaska Fairbanks</t>
  </si>
  <si>
    <t>Kishore, P (corresponding author), Commun Res Labs, 4-2-1 Nukui Kita, Tokyo 1848795, Japan.</t>
  </si>
  <si>
    <t>Vincent, Robert A/E-5450-2013; Murayama, Yasuhiro/ABF-1698-2020; Dowdy, Andrew/J-3414-2016</t>
  </si>
  <si>
    <t>Vincent, Robert A/0000-0001-6559-6544; Murayama, Yasuhiro/0000-0003-1129-334X; Dowdy, Andrew/0000-0003-0720-4471</t>
  </si>
  <si>
    <t>MAR 28</t>
  </si>
  <si>
    <t>10.1029/2002GL016750</t>
  </si>
  <si>
    <t>677PV</t>
  </si>
  <si>
    <t>WOS:000182817500007</t>
  </si>
  <si>
    <t>Spero, HJ; Mielke, KM; Kalve, EM; Lea, DW; Pak, DK</t>
  </si>
  <si>
    <t>Multispecies approach to reconstructing eastern equatorial Pacific thermocline hydrography during the past 360 kyr</t>
  </si>
  <si>
    <t>carbon isotope; oxygen isotope; planktonic foraminifera; paleotemperature equations</t>
  </si>
  <si>
    <t>OXYGEN ISOTOPIC COMPOSITION; LIVING PLANKTONIC-FORAMINIFERA; LAST GLACIAL MAXIMUM; ANTARCTIC SEA-ICE; GLOBIGERINA-BULLOIDES; VERTICAL-DISTRIBUTION; PANAMA BASIN; GAMETOGENIC CALCIFICATION; OCEAN CIRCULATION; STABLE-ISOTOPES</t>
  </si>
  <si>
    <t>Stable isotope data from eastern equatorial Pacific (EEP) core TR163-19 (2degrees15'N, 90degrees57'W, 2348 m) are presented for the surface-dwelling foraminifers Globigerinoides ruber and G. sacculifer and thermocline-dwelling Globorotalia menardii and Neogloboquadrina dutertrei. Using species-specific normalization factors derived from experimental and plankton tow data, we reconstruct a 360 kyr record of water column hydrography across the past three glacial cycles. We demonstrate that G. ruber maintains a mixed layer habitat throughout the entire record, while G. sacculifer records a mixture of thermocline and mixed layer conditions and G. menardii and N. dutertrei record thermocline properties. We conclude that G. sacculifer is not appropriate for paleoceanographic applications in regions with steep vertical hydrographic gradients. Results suggest that this region of the EEP had a thicker mixed layer and deeper delta(13)C(DIC) boundary between the surface and equatorial undercurrent during the last two glacial periods. A shift in N. dutertrei and G. sacculifer geochemistry prior to similar to185 kyr suggests water column structure and chemocline gradients changed, possibly due to a shift in the position of the undercurrent relative to this site. The timing and magnitude of glacial-interglacial delta(13)C variations between species indicates that near-surface carbon chemistry is controlled by changes in productivity, atmospheric circulation, and advected intermediate water sources north of the Antarctic polar front. These results demonstrate that when properly calibrated for species differences, multispecies geochemical data sets can be invaluable for reconstructing water column structure and properties in the past.</t>
  </si>
  <si>
    <t>Univ Calif Davis, Dept Geol, Davis, CA 95616 USA; Univ Calif Santa Barbara, Dept Geol Sci, Santa Barbara, CA 93106 USA; Univ Calif Santa Barbara, Inst Marine Sci, Santa Barbara, CA 93106 USA</t>
  </si>
  <si>
    <t>University of California System; University of California Davis; University of California System; University of California Santa Barbara; University of California System; University of California Santa Barbara</t>
  </si>
  <si>
    <t>Univ Calif Davis, Dept Geol, Davis, CA 95616 USA.</t>
  </si>
  <si>
    <t>spero@geology.ucdavis.edu; koriemm@hotmail.com; ekalve@usgs.gov; lea@geol.ucsb.edu; pak@geol.ucsb.edu</t>
  </si>
  <si>
    <t>Spero, Howard/0000-0001-5465-8607</t>
  </si>
  <si>
    <t>10.1029/2002PA000814</t>
  </si>
  <si>
    <t>677RD</t>
  </si>
  <si>
    <t>WOS:000182820600001</t>
  </si>
  <si>
    <t>King, AL; Howard, WR</t>
  </si>
  <si>
    <t>Planktonic foraminiferal flux seasonality in Subantarctic sediment traps: A test for paleoclimate reconstructions</t>
  </si>
  <si>
    <t>sediment traps; Southern Ocean; planktonic foraminifera; paleoclimate; modern analog technique; MAT</t>
  </si>
  <si>
    <t>SOUTHERN-OCEAN; ISOTOPIC COMPOSITION; CHLOROPHYLL MAXIMUM; CARBON EXPORT; ZONE SOUTH; PACIFIC; PHYTOPLANKTON; AUSTRALIA; SUCCESSION; FRONTS</t>
  </si>
  <si>
    <t>[1] Sediment trap moorings deployed during 1997 and 1998 in the Subantarctic to Polar Frontal regions of the Southern Ocean reveal distinct seasonality in foraminiferal flux. Foraminiferal assemblages vary between each site, yet major species exhibit very similar patterns of seasonal succession which can be associated with changes in mixed layer depth. Enhanced foraminiferal productivity is also associated with periods of high biogenic silica and particulate organic carbon flux. On a broader scale, foraminiferal assemblages are strongly delineated by temperature. Temperature estimates derived from the assemblages using the modern analog technique (MAT) are mostly within 2.5degreesC of the satellite advanced very high resolution radiometer temperatures observed during the deployment period. This indicates that core top sediments included in the MAT database do reflect modern observed conditions at the sea surface, providing a robust technique for estimating past temperature change from foraminiferal assemblages in Southern Ocean environments.</t>
  </si>
  <si>
    <t>Univ Tasmania, Inst Antarctic &amp; So Ocean Studies, Hobart, Tas 7001, Australia; Univ Tasmania, Antarctic Cooperat Res Ctr, Hobart, Tas 7001, Australia</t>
  </si>
  <si>
    <t>King, AL (corresponding author), Geosci Australia, GPO Box 378, Canberra, ACT 2601, Australia.</t>
  </si>
  <si>
    <t>Post, Alexandra/0000-0002-6287-3283</t>
  </si>
  <si>
    <t>MAR 26</t>
  </si>
  <si>
    <t>10.1029/2002PA000839</t>
  </si>
  <si>
    <t>677RB</t>
  </si>
  <si>
    <t>WOS:000182820400004</t>
  </si>
  <si>
    <t>Hosford, A; Tivey, M; Matsumoto, T; Dick, H; Schouten, H; Kinoshita, H</t>
  </si>
  <si>
    <t>Crustal magnetization and accretion at the Southwest Indian Ridge near the Atlantis II fracture zone, 0-25 Ma</t>
  </si>
  <si>
    <t>Mid-ocean ridge; Southwest Indian Ridge; crustal magnetization; ridge segmentation; asymmetric spreading; Atlantis II fracture zone</t>
  </si>
  <si>
    <t>DRILLING PROGRAM HOLE-735B; SLOW-SPREADING CENTERS; OCEAN CRUST; SEA-FLOOR; TRANSFORM INTERSECTIONS; PLATE MOTIONS; MOHNS RIDGE; ANOMALIES; SEGMENTATION; ROCKS</t>
  </si>
  <si>
    <t>[1] We analyze geophysical data that extend from 0 to 25-Myr-old seafloor on both flanks of the Southwest Indian Ridge (SWIR). Lineated marine magnetic anomalies are consistent and identifiable within the study area, even over seafloor lacking a basaltic upper crust. The full spreading rate of 14 km/Myr has remained nearly constant since at least 20 Ma, but crustal accretion has been highly asymmetric, with half rates of 8.5 and 5.5 km/Myr on the Antarctic and African flanks, respectively. This asymmetry may be unique to a similar to400 km wide corridor between large-offset fracture zones of the SWIR. In contrast to the Mid-Atlantic Ridge, crustal magnetization amplitudes correlate directly with seafloor topography along the present-day rift valleys. This pattern appears to be primarily a function of along-axis variations in crustal thickness, rather than magnetic mineralogy. Off-axis, magnetization amplitudes at paleo-segment ends are more positive than at paleo-segment midpoints, suggesting the presence of an induced component of magnetization within the lower crust or serpentinized upper mantle. Alteration of the magnetic source layer at paleo-segment midpoints reduces magnetization amplitudes by 70-80% within 20 Myr of accretion. Magnetic and Ocean Drilling Program (ODP) Hole 735B data suggest that the lower crust cooled quickly enough to lock in a primary thermoremanent magnetization that is in phase with that of the overlying upper crust. Thus magnetic polarity boundaries within the intrusive lower crust may be steeper than envisioned in prior models of ocean crustal magnetization. As the crust ages, the lower crust becomes increasingly important in preserving marine magnetic stripes.</t>
  </si>
  <si>
    <t>Woods Hole Oceanog Inst, Dept Geol &amp; Geophys, Woods Hole, MA 02543 USA; Japan Marine Sci &amp; Technol Ctr, Yokosuka, Kanagawa 2370061, Japan</t>
  </si>
  <si>
    <t>Woods Hole Oceanographic Institution; Japan Agency for Marine-Earth Science &amp; Technology (JAMSTEC)</t>
  </si>
  <si>
    <t>US Geol Survey, 345 Middlefield Rd,MS 989, Menlo Pk, CA 94025 USA.</t>
  </si>
  <si>
    <t>allegra@usgs.gov</t>
  </si>
  <si>
    <t>Tivey, Maurice/E-9247-2015</t>
  </si>
  <si>
    <t>Tivey, Maurice/0000-0003-0821-1155</t>
  </si>
  <si>
    <t>MAR 25</t>
  </si>
  <si>
    <t>B3</t>
  </si>
  <si>
    <t>10.1029/2001JB000604</t>
  </si>
  <si>
    <t>677QR</t>
  </si>
  <si>
    <t>WOS:000182819500001</t>
  </si>
  <si>
    <t>Polyakov, I; Walsh, D; Dmitrenko, I; Colony, RL; Timokhov, LA</t>
  </si>
  <si>
    <t>Arctic Ocean variability derived from historical observations</t>
  </si>
  <si>
    <t>WATER; SEA</t>
  </si>
  <si>
    <t>[1] This study has been motivated by reports of extra ordinary change in the Arctic Ocean observed in recent decades. Most of these observations are based on synoptic measurements, while evaluation of anomalies requires an understanding of the underlying long-term variability. Historical climatologies give reference means, and while these datasets are a reliable source of the mean Atlantic Layer temperature, they significantly underestimate variability. Using historical data, we calculated statistical parameters for selected Arctic Ocean regions. They demonstrate a high level of Atlantic Layer temperature variability in the Nansen Basin and sea-surface salinity fluctuations on the Siberian shelf and the Amundsen Basin. These estimates suggest strong limitations on our ability to define amplitudes of anomalies by comparing recent synoptic measurements with climatologies, especially for regions characterized by strong variability.</t>
  </si>
  <si>
    <t>Univ Alaska Fairbanks, Int Arctic Res Ctr, Fairbanks, AK 99775 USA; Arctic &amp; Antarctic Res Inst, St Petersburg 199397, Russia</t>
  </si>
  <si>
    <t>University of Alaska System; University of Alaska Fairbanks; Arctic &amp; Antarctic Research Institute</t>
  </si>
  <si>
    <t>Univ Alaska Fairbanks, Int Arctic Res Ctr, Fairbanks, AK 99775 USA.</t>
  </si>
  <si>
    <t>Dmitrenko, Igor/0000-0001-8388-7839</t>
  </si>
  <si>
    <t>MAR 22</t>
  </si>
  <si>
    <t>10.1029/2002GL016441</t>
  </si>
  <si>
    <t>667FJ</t>
  </si>
  <si>
    <t>WOS:000182220300005</t>
  </si>
  <si>
    <t>Barnes, DKA</t>
  </si>
  <si>
    <t>Competition asymmetry with taxon divergence</t>
  </si>
  <si>
    <t>interference competition; relatedness; Darwin; bryozoans</t>
  </si>
  <si>
    <t>OVERGROWTH COMPETITION; SPATIAL COMPETITION; SESSILE ORGANISMS; COMMUNITIES; CLADES; HIERARCHIES; FISHERIES; EVOLUTION; SPACE</t>
  </si>
  <si>
    <t>Most organisms experience competition for resources, probably most of the time. As the structure and requirements of closely related species are generally liable to be more similar than in distantly linked species, Darwin suggested that the potential for competition was greater in the former. Since that time, studies have concentrated on interactions of either conspecifics or congeneric species. Shared critical resources, which organisms compete for, are generally mates, food and space (for access to the former). Whilst mates are valued only within species, in that the definition of a species requires it so, both food and space have the potential to be shared by very different organisms. It is now clear that vertebrates may compete with remotely related species: e.g. with squid for krill and with insects for nectar or seeds. Diamond suggested that (i) mutual aggression, (ii) displacement and (iii) evolutionary change in morphology would be increasingly asymmetric with competitor dissimilarity. Thus, with increasing taxonomic distance between two competitors (A and B), increasing aggression is exhibited between them and, increasingly, one consistently displaces the other. Here, Darwin's suggestion and Diamond's first two theories are tested across a taxonomic spectrum for the first time to the best of the author's knowledge. The proportion of spatial competitors in two different marine invertebrate groups demonstrating mutual aggression and displacement increases with taxon divergence (Nei's genetic identity). Congenerics were twice as likely to fight as conspecifics, and confamilial competitors were three times as likely to fight as conspecifics. This relationship seems robust to taxonomic and environmental variability. Competitors do not need to be as distant as birds and bees for complete asymmetry, a different family seems sufficient.</t>
  </si>
  <si>
    <t>Barnes, DKA (corresponding author), British Antarctic Survey, NERC, High Cross,Madingley Rd, Cambridge CB3 0ET, England.</t>
  </si>
  <si>
    <t>dkab@bas.ac.uk</t>
  </si>
  <si>
    <t>10.1098/rspb.2002.2274</t>
  </si>
  <si>
    <t>659HA</t>
  </si>
  <si>
    <t>WOS:000181769800001</t>
  </si>
  <si>
    <t>Röckmann, T; Kaiser, J; Brenninkmeijer, CAM</t>
  </si>
  <si>
    <t>The isotopic fingerprint of the pre-industrial and the anthropogenic N2O source</t>
  </si>
  <si>
    <t>NITROUS-OXIDE; GAS CONCENTRATIONS; UV PHOTOLYSIS; POLAR FIRN; FRACTIONATION; MASS; BUDGET; (NNO)-N-14-N-14-O-18; STRATOSPHERE; ISOTOPOMERS</t>
  </si>
  <si>
    <t>We have performed high-precision measurements of the O-18 and position dependent N-15 isotopic composition of N2O from Antarctic firn air samples. By comparing these data to simulations carried out with a firn air diffusion model, we have reconstructed the temporal evolution of the N2O isotope signatures since pre-industrial times. The heavy isotope content of atmospheric N2O is presently decreasing for all signatures at rates of about -0.038parts per thousand yr(-1) for (1)delta(15)N, -0.046parts per thousand yr(-1) for (2)delta(15)N and -0.025parts per thousand yr(-1) for delta(18)O. The total decrease since pre-industrial times is estimated to be about -1.8parts per thousand for (1)delta(15)N, -2.2parts per thousand for (2)delta(15)N and -1.2parts per thousand for delta(18)O. Isotope budget calculations using these trends and recent stratospheric measurements allow to isotopically characterize the present and the pre-industrial global average N2O source, as well as the additional N2O emissions that have caused the global N2O increase since pre-industrial times. The increased fluxes from the depleted surface sources alone are insufficient to explain the inferred temporal isotope changes. In addition, the global average N2O source signature is calculated to be significantly depleted today relative to the pre-industrial value, in agreement with recent indications from soil emission measurements.</t>
  </si>
  <si>
    <t>Max Planck Inst Nucl Phys, Atmospher Phys Div, Heidelberg, Germany; Max Planck Inst Chem, Air Chem Div, D-55128 Mainz, Germany</t>
  </si>
  <si>
    <t>T.Roeckmann@mpi-hd.mpg.de</t>
  </si>
  <si>
    <t>MAR 21</t>
  </si>
  <si>
    <t>658JB</t>
  </si>
  <si>
    <t>WOS:000181716900002</t>
  </si>
  <si>
    <t>Lübken, FJ; Müllemann, A</t>
  </si>
  <si>
    <t>First in situ temperature measurements in the summer mesosphere at very high latitudes (78°N) -: art. no. 8448</t>
  </si>
  <si>
    <t>mesosphere; temperature; arctic; PMSE; transition; rockets</t>
  </si>
  <si>
    <t>LOWER THERMOSPHERE; MIDDLE ATMOSPHERE; GRAVITY-WAVES; MESOPAUSE; DYNAMICS; ECHOES; DENSITY; CLOUDS; REGION; MODEL</t>
  </si>
  <si>
    <t>[1] A total of 24 temperature profiles from similar to92 to 55 km were obtained from falling sphere flights in Longyearbyen (Svalbard, 78degreesN) from 16 July to 14 September 2001. The thermal structure of the upper mesosphere during the summer season ( here from mid-July to 23 August) is characterized by very low temperatures and little variability. The mesopause temperature decreases slightly from similar to130 K in mid-July to 126-128 K in late July/beginning of August. The mesopause altitude in summer is similar to89 km. Compared to 10degrees further south (69degreesN, Andoya), the mesopause temperature is very similar in mid-July but is significantly colder by 6-8 K in the second half of July and in August. Part of this difference ( especially in late August) is due to the later transition from summer to winter in Longyearbyen. The mesopause altitude is higher by approximately 1 km at Longyearbyen compared to Andoya. At 82 km, the temperature in summer is very close to 150 K, very similar to other Arctic and Antarctic stations (equithermal submesopause''). The temperatures in the upper mesosphere are significantly lower compared to COSPAR International Reference Atmosphere (CIRA, 1986) by up to 20 K. Assuming model water vapor concentrations, we derived the degree of saturation of water vapor ( S). In summer, there is an extended altitude range ( 82 92 km) with supersaturation (S &gt; 1). Occasionally, very high supersaturation was derived ( S &gt; 100). Our temperature measurements are in general agreement with the occurrence morphology of polar mesosphere summer echoes (PMSE). However, double layered structures frequently observed in PMSEs are not a prominent feature of the temperatures in the upper mesosphere.</t>
  </si>
  <si>
    <t>Leibniz Inst Atmospher Phys, D-18225 Kuhlungsborn, Germany</t>
  </si>
  <si>
    <t>Leibniz Institut fur Atmospharenphysik e.V. an der Universitat Rostock (IAP)</t>
  </si>
  <si>
    <t>luebken@iap-kborn.de</t>
  </si>
  <si>
    <t>MAR 20</t>
  </si>
  <si>
    <t>10.1029/2002JD002414</t>
  </si>
  <si>
    <t>667GU</t>
  </si>
  <si>
    <t>WOS:000182223600001</t>
  </si>
  <si>
    <t>Grousset, FE; Ginoux, P; Bory, A; Biscaye, PE</t>
  </si>
  <si>
    <t>Case study of a Chinese dust plume reaching the French Alps</t>
  </si>
  <si>
    <t>MINERAL DUST; DEPOSITION; TRANSPORT; SEDIMENTS; AEROSOLS</t>
  </si>
  <si>
    <t>[1] By combining reconstruction of airmass back-trajectories from dust deposition sites in Europe and measurements of the (Nd) isotopic composition of deposited dust particles, potential sources of different Saharan dust events can be identified. The study of red dust'' events collected in France allowed us to identify distinct North African source areas (e.g. Lybia vs. Mauritania). Surprisingly, the airmass trajectory of one dust event (March 6, 1990) was distinct from the others, and revealed a Chinese origin. The Nd isotopic composition of this dust was consistent with the range of isotopic compositions of Chinese loess. Moreover, an atmospheric global model simulation reveals that a dust plume left China before February 25, 1990, flew over North America around the February/March transition and reached the French Alps by March 6, 1990, revealing that intercontinental dust and pollutant transport may occur across the Pacific Ocean and the North Atlantic at the Westerlies latitudes.</t>
  </si>
  <si>
    <t>Univ Maryland Baltimore Cty, GEST, NASA, Goddard Space Flight Ctr, Greenbelt, MD 20771 USA; Univ Bordeaux 1, CNRS, UMR 5805, EPOC, F-33405 Talence, France; Columbia Univ, Lamont Doherty Geol Observ, Palisades, NY 10964 USA; British Antarctic Survey, Cambridge CB3 0ET, England</t>
  </si>
  <si>
    <t>University System of Maryland; University of Maryland Baltimore County; National Aeronautics &amp; Space Administration (NASA); NASA Goddard Space Flight Center; Centre National de la Recherche Scientifique (CNRS); CNRS - National Institute for Earth Sciences &amp; Astronomy (INSU); Universite de Bordeaux; Columbia University; UK Research &amp; Innovation (UKRI); Natural Environment Research Council (NERC); NERC British Antarctic Survey</t>
  </si>
  <si>
    <t>Univ Maryland Baltimore Cty, GEST, NASA, Goddard Space Flight Ctr, Greenbelt, MD 20771 USA.</t>
  </si>
  <si>
    <t>grousset@epoc.u-bordeaux.fr; ginoux@rondo.gsfc.nasa.gov; abory@bas.ac.uk</t>
  </si>
  <si>
    <t>Ginoux, Paul/0000-0003-3642-2988; BORY, Aloys/0000-0002-0251-6372</t>
  </si>
  <si>
    <t>MAR 19</t>
  </si>
  <si>
    <t>10.1029/2002GL016833</t>
  </si>
  <si>
    <t>667FA</t>
  </si>
  <si>
    <t>WOS:000182219500008</t>
  </si>
  <si>
    <t>Becquey, S; Gersonde, R</t>
  </si>
  <si>
    <t>A 0.55-Ma paleotemperature record from the Subantarctic zone: Implications for Antarctic Circumpolar Current development</t>
  </si>
  <si>
    <t>Subantarctic zone; sea surface temperatures; planktic foraminifers; ice rafted debris; climate</t>
  </si>
  <si>
    <t>SEA-SURFACE TEMPERATURES; SOUTHERN INDIAN-OCEAN; DEEP-WATER CIRCULATION; LAST CLIMATIC CYCLE; VOSTOK ICE CORE; PLANKTONIC-FORAMINIFERA; ATLANTIC SECTOR; INTERGLACIAL CHANGES; SELECTIVE SOLUTION; LATE PLEISTOCENE</t>
  </si>
  <si>
    <t>[1] Estimates of summer sea surface temperatures (SSSTs) derived from planktic foraminiferal associations using the Modern Analog Technique and combined with isotopic analyses and determination of ice-rafted debris, mirror the Pleistocene evolution of the planktic Subantarctic surface waters in the Atlantic Ocean. The SSSTs indicate that the isotherms that define the modern polar front zone and Subantarctic front, were located at more northerly latitudes (up to 7degrees) during most of the investigated period, which covers the past 550 kyr. Exceptions are during climatic optima in the early Holocene, at marine isotope stages (MIS) 5.5, 7.1, 7.5, 9.3, and presumably during MIS 11.3 when SSSTs exceeded modern values by 1degrees-5degreesC. The close similarity between the SSST and the Vostok temperature indicates strong regional temperature correlation. Both records show that MIS 9.3 was the warmest period during the last 420 kyr whereas SSSTs obtained for MIS 11.3 are overestimated due to strong carbonate dissolution. Spectral analysis corroborates that the initiation of warming in southern high latitudes heralds the start of deglaciation on the Northern Hemisphere.</t>
  </si>
  <si>
    <t>Univ Salamanca, Fac Sci, Dept Geol, E-37008 Salamanca, Spain.</t>
  </si>
  <si>
    <t>becquey@usal.es</t>
  </si>
  <si>
    <t>10.1029/2000PA000576</t>
  </si>
  <si>
    <t>667JX</t>
  </si>
  <si>
    <t>WOS:000182229400001</t>
  </si>
  <si>
    <t>Hohmann, R; Schlosser, P; Huber, B</t>
  </si>
  <si>
    <t>Helium 3 and dissolved oxygen balances in the upper waters of the Weddell Sea: Implications for oceanic heat fluxes</t>
  </si>
  <si>
    <t>tracers; noble gases; water masses; sea ice</t>
  </si>
  <si>
    <t>WINTER MIXED-LAYER; SOUTHERN-OCEAN; ICE; CIRCULATION; TRITIUM; STRATIFICATION; SOLUBILITY; SEAMOUNT; TRACERS; MASSES</t>
  </si>
  <si>
    <t>[1] We present helium 3 (He-3) and dissolved oxygen (DO) distributions in the upper waters of the central Weddell Sea obtained from samples collected during the Winter Weddell Sea Project (WWSP, July to September 1986), and the Antarctic Zone Flux Experiment (ANZFLUX, July to August 1994). The data are discussed in terms of apparent entrainment rates of Weddell Deep Water (WDW) into the Winter Mixed Layer (WML) and the associated apparent heat flux. The fraction of WDW in the WML derived from the He-3 excess (Deltadelta(3) He) and DO deficit in the mixed layer increases with latitude and reaches 10-20% at 68degreesS. The corresponding apparent heat flux during the winter entrainment period is 14 +/- 4 W m(-2), and the apparent annual heat flux is 6 +/- 4 W m(-2). Significantly larger heat fluxes ( winter ocean heat flux of 25 W m(-2); average annual heat flux of 15 W m(-2)) are observed near Maud Rise and in the region southwest of the rise in features that are associated with a Taylor column that apparently forms over the seamount. The entrainment rates and heat fluxes obtained from a one-dimensional numerical model exceed those calculated from the WDW fraction in the WML by about a factor of two, mainly because of the effect of gas exchange through leads on the mass balance of 3 He and DO in the WML. The best agreement between model calculations performed for 62.5degreesS, 65degreesS, and 67.5degreesS and observations is achieved for entrainment rates of 25-35 m yr(-1), 30-40 m yr(-1), and 35-45 m yr(-1), respectively. Daily entrainment rates are practically identical (0.28-0.39 m d(-1)) for the three latitudes. Corresponding simulated heat fluxes for the winter entrainment period and the annual average are 36-50 W m(-2) and 10-17 W m(-2), respectively. Extrapolation of the annual average heat flux to the seasonally ice-covered Weddell Sea yields a value of 0.04-0.07 PW.</t>
  </si>
  <si>
    <t>Columbia Univ, Dept Environm Sci, New York, NY USA; Columbia Univ, Dept Earth &amp; Environm Engn, New York, NY USA</t>
  </si>
  <si>
    <t>Columbia Univ, Lamont Doherty Earth Observ, Route 9W, Palisades, NY 10964 USA.</t>
  </si>
  <si>
    <t>hohmann@ldeo.columbia.edu</t>
  </si>
  <si>
    <t>Schlosser, Peter/C-6416-2012</t>
  </si>
  <si>
    <t>Huber, Bruce/0000-0001-6413-1614</t>
  </si>
  <si>
    <t>MAR 18</t>
  </si>
  <si>
    <t>10.1029/2000JC000474</t>
  </si>
  <si>
    <t>667GY</t>
  </si>
  <si>
    <t>WOS:000182224000001</t>
  </si>
  <si>
    <t>Gonzalez, RR; Sullivan, P; Staab, JE; Blanchard, LA; Matthew, CB; Matthew, WT; Gonzalez, JA; Lugg, DJ</t>
  </si>
  <si>
    <t>Thermoregulatory responses to cold stress before and after Antarctic winter exposure</t>
  </si>
  <si>
    <t>FASEB JOURNAL</t>
  </si>
  <si>
    <t>Experimental Biology 2003 Meeting</t>
  </si>
  <si>
    <t>APR 11-15, 2003</t>
  </si>
  <si>
    <t>SAN DIEGO, CALIFORNIA</t>
  </si>
  <si>
    <t>USA, Inst Res, Div Chief, Natick, MA 01760 USA; AAD, Kingston, Tas, Australia; NASA, HQ, Extreme Med, Code AM, Washington, DC USA</t>
  </si>
  <si>
    <t>Australian Antarctic Division; National Aeronautics &amp; Space Administration (NASA)</t>
  </si>
  <si>
    <t>FEDERATION AMER SOC EXP BIOL</t>
  </si>
  <si>
    <t>9650 ROCKVILLE PIKE, BETHESDA, MD 20814-3998 USA</t>
  </si>
  <si>
    <t>0892-6638</t>
  </si>
  <si>
    <t>FASEB J</t>
  </si>
  <si>
    <t>Faseb J.</t>
  </si>
  <si>
    <t>MAR 17</t>
  </si>
  <si>
    <t>A1267</t>
  </si>
  <si>
    <t>Biochemistry &amp; Molecular Biology; Biology; Cell Biology</t>
  </si>
  <si>
    <t>Biochemistry &amp; Molecular Biology; Life Sciences &amp; Biomedicine - Other Topics; Cell Biology</t>
  </si>
  <si>
    <t>659UY</t>
  </si>
  <si>
    <t>WOS:000181796902422</t>
  </si>
  <si>
    <t>Rogers, M</t>
  </si>
  <si>
    <t>Scott, Shackleton and Amundsen: Ambition and tragedy in the Antarctic.</t>
  </si>
  <si>
    <t>LIBRARY JOURNAL</t>
  </si>
  <si>
    <t>REED BUSINESS INFORMATION</t>
  </si>
  <si>
    <t>360 PARK AVENUE SOUTH, NEW YORK, NY 10010 USA</t>
  </si>
  <si>
    <t>0363-0277</t>
  </si>
  <si>
    <t>LIBR J</t>
  </si>
  <si>
    <t>Libr. J.</t>
  </si>
  <si>
    <t>MAR 15</t>
  </si>
  <si>
    <t>Information Science &amp; Library Science</t>
  </si>
  <si>
    <t>672LZ</t>
  </si>
  <si>
    <t>WOS:000182523300236</t>
  </si>
  <si>
    <t>Weaver, AJ; Saenko, OA; Clark, PU; Mitrovica, JX</t>
  </si>
  <si>
    <t>Meltwater pulse 1A from Antarctica as a trigger of the bolling-allerod warm interval</t>
  </si>
  <si>
    <t>LAST GLACIAL MAXIMUM; SEA-LEVEL RECORD; YOUNGER DRYAS; THERMOHALINE CIRCULATION; ICE-SHEET; CLIMATE-CHANGE; MODEL; AGES; INSTABILITY; TIMESCALE</t>
  </si>
  <si>
    <t>Meltwater pulse 1A (mwp-1A) was a prominent feature of the last deglaciation, which led to a sea-level rise of similar to20 meters in less than 500 years. Concurrent with mwp-1A was the onset of the Bolling-Allerod interstadial event (14,600 years before the present), which marked the termination of the last glacial period. Previous studies have been unable to reconcile a warm Northern Hemisphere with mwp-1A originating from the Laurentide or Fennoscandian ice sheets. With the use of a climate model of intermediate complexity, we demonstrate that with mwp-1A originating from the Antarctic Ice Sheet, consistent with recent sea-level fingerprinting inferences, the strength of North Atlantic Deep Water (NADW) formation increases, thereby warming the North Atlantic region and providing an explanation for the onset of the Boiling-Allerod warm interval. The established mode of active NADW formation is then able to respond to subsequent freshwater forcing from the Laurentide and Fennoscandian ice sheets, setting the stage for the Younger Dryas cold period.</t>
  </si>
  <si>
    <t>Univ Victoria, Sch Earth &amp; Ocean Sci, Victoria, BC V8W 3P6, Canada; Oregon State Univ, Dept Geosci, Corvallis, OR 97331 USA; Univ Toronto, Dept Phys, Toronto, ON M5S 1A7, Canada</t>
  </si>
  <si>
    <t>University of Victoria; Oregon State University; University of Toronto</t>
  </si>
  <si>
    <t>weaver@uvic.ca</t>
  </si>
  <si>
    <t>Weaver, Andrew J/E-7590-2011</t>
  </si>
  <si>
    <t>Weaver, Andrew J/0000-0001-8919-3598</t>
  </si>
  <si>
    <t>MAR 14</t>
  </si>
  <si>
    <t>10.1126/science.1081002</t>
  </si>
  <si>
    <t>654WM</t>
  </si>
  <si>
    <t>WOS:000181519500038</t>
  </si>
  <si>
    <t>Caillon, N; Severinghaus, JP; Jouzel, J; Barnola, JM; Kang, JC; Lipenkov, VY</t>
  </si>
  <si>
    <t>Timing of atmospheric CO2 and Antarctic temperature changes across termination III</t>
  </si>
  <si>
    <t>ABRUPT CLIMATE-CHANGE; VOSTOK ICE CORE; CARBON-DIOXIDE; TRAPPED AIR; POLAR ICE; RECORD; FIRN; GREENLAND; CYCLE; END</t>
  </si>
  <si>
    <t>The analysis of air bubbles from ice cores has yielded a precise record of atmospheric greenhouse gas concentrations, but the timing of changes in these gases with respect to temperature is not accurately known because of uncertainty in the gas age-ice age difference. We have measured the isotopic composition of argon in air bubbles in the Vostok core during Termination III (similar to240,000 years before the present). This record most likely reflects the temperature and accumulation change, although the mechanism remains unclear. The sequence of events during Termination III suggests that the CO2 increase tagged Antarctic deglacial warming by 800 +/- 200 years and preceded the Northern Hemisphere deglaciation.</t>
  </si>
  <si>
    <t>CEA Saclay, CNRS, Inst Pierre Simon Laplace, Lab Climat &amp; Environm, F-91191 Gif Sur Yvette, France; Univ Calif San Diego, Scripps Inst Oceanog, La Jolla, CA 92093 USA; CNRS, Lab Glaciol &amp; Geophys Environm, F-38402 St Martin Dheres, France; Polar Res Inst China, Shanghai 200129, Peoples R China; Arctic &amp; Antarctic Res Inst, St Petersburg 199397, Russia</t>
  </si>
  <si>
    <t>Universite Paris Saclay; Universite Paris Cite; Centre National de la Recherche Scientifique (CNRS); CEA; University of California System; University of California San Diego; Scripps Institution of Oceanography; Centre National de la Recherche Scientifique (CNRS); Polar Research Institute of China; Arctic &amp; Antarctic Research Institute</t>
  </si>
  <si>
    <t>CEA Saclay, CNRS, Inst Pierre Simon Laplace, Lab Climat &amp; Environm, F-91191 Gif Sur Yvette, France.</t>
  </si>
  <si>
    <t>Lipenkov, Vladimir/Q-8262-2016; Caillon, Nicolas/B-7127-2019</t>
  </si>
  <si>
    <t>Lipenkov, Vladimir/0000-0003-4221-5440; Caillon, Nicolas/0000-0002-6318-6194</t>
  </si>
  <si>
    <t>10.1126/science.1078758</t>
  </si>
  <si>
    <t>WOS:000181519500044</t>
  </si>
  <si>
    <t>Wild, M; Calanca, P; Scherrer, SC; Ohmura, A</t>
  </si>
  <si>
    <t>Effects of polar ice sheets on global sea level in high-resolution greenhouse scenarios</t>
  </si>
  <si>
    <t>global climate modeling; climate change; sea level rise; greenhouse warming; mass balance; polar ice sheets</t>
  </si>
  <si>
    <t>SURFACE MASS-BALANCE; CLIMATE-CHANGE; WEATHER FORECASTS; GREENLAND; GCM; MODEL; TEMPERATURE; ACCUMULATION; SIMULATIONS; ENERGY</t>
  </si>
  <si>
    <t>Projections of future global sea level critically depend on reliable estimates of mass balance changes on the polar ice sheets. The most sophisticated tools allowing for such estimates are General Circulation Models (GCM). A major impediment until recently has been their coarse grid resolution (3degrees-6degrees) causing substantial uncertainties in the mass balance calculations on the poorly resolved ice sheets. The present study is based on a climate change experiment of highest resolution currently feasible (T106, 1.1degrees). The precipitation distribution significantly benefits from the more realistic orographic forcing in the high-resolution experiment and is very accurately reproduced. A greenhouse warming experiment with doubled carbon-dioxide concentration based on the same high-resolution model suggests an increase in accumulation on both Greenland and Antarctic ice sheets. On the other hand, even a T106 resolution is still too coarse for the simulation of ablation on the narrow ice sheet margins, where most of the melting takes place. A simple method is presented to improve ablation diagnostics from GCMs, based on the interpolation of the reference temperature and temperature anomaly fields onto a fine mesh topography of 2 km horizontal resolution. The increase in ablation on Greenland in the greenhouse scenario is thereby smaller than the increase directly inferred from the GCM grid. As for Antarctica, it is still too cold at the time of doubled carbon-dioxide concentration for significant ablation. The results from the greenhouse experiment with doubled carbon-dioxide concentration thus suggest not only a mass gain in Antarctica due to the increase in accumulation, but also a mass gain in Greenland, since the enhanced ablation in the warmer climate does not fully compensate for the increased accumulation. In terms of global sea level change, these mass balance shifts correspond to a net sea level decrease of 1.2 mm y(-1) at the time of doubled carbon-dioxide. This may compensate for a substantial fraction of the melt-induced sea level rise from smaller glaciers and ice caps, leaving thermal expansion as the dominant factor for sea level rise over the coming decades. The compensating effect, however, could fade if carbon-dioxide concentrations in the atmosphere cannot be stabilized and continue to rise above double the present values, since the associated greenhouse warming could then become large enough to induce significant melting also on the Antarctic ice sheet.</t>
  </si>
  <si>
    <t>Swiss Fed Inst Technol, Inst Atmospher &amp; Climate Sci, CH-8057 Zurich, Switzerland</t>
  </si>
  <si>
    <t>Swiss Federal Institutes of Technology Domain; ETH Zurich</t>
  </si>
  <si>
    <t>Wild, M (corresponding author), Swiss Fed Inst Technol, Inst Atmospher &amp; Climate Sci, Winterthurerstr 190, CH-8057 Zurich, Switzerland.</t>
  </si>
  <si>
    <t>wild@geo.umnw.ethz.ch</t>
  </si>
  <si>
    <t>Scherrer, Simon C/A-8547-2008; Wild, Martin/J-8977-2012</t>
  </si>
  <si>
    <t>Scherrer, Simon C/0000-0002-5040-0470;</t>
  </si>
  <si>
    <t>MAR 13</t>
  </si>
  <si>
    <t>D5</t>
  </si>
  <si>
    <t>10.1029/2002JD002451</t>
  </si>
  <si>
    <t>666AQ</t>
  </si>
  <si>
    <t>WOS:000182153800002</t>
  </si>
  <si>
    <t>Kara, AB; Rochford, PA; Hurlburt, HE</t>
  </si>
  <si>
    <t>Mixed layer depth variability over the global ocean</t>
  </si>
  <si>
    <t>mixed layer; isothermal layer; seasonal cycle; temperature; salinity; verification</t>
  </si>
  <si>
    <t>EQUATORIAL PACIFIC-OCEAN; BARRIER-LAYER; NORTH-PACIFIC; SURFACE-LAYER; SOLAR-RADIATION; SKILL SCORES; SEA ICE; TEMPERATURE; ATLANTIC; SALINITY</t>
  </si>
  <si>
    <t>[1] The spatial and monthly variability of the climatological mixed layer depth (MLD) for the global ocean is examined using the recently developed Naval Research Laboratory (NRL) Ocean Mixed Layer Depth (NMLD) climatologies. The MLD fields are constructed using the subsurface temperature and salinity data from the World Ocean Atlas 1994 [Levitus et al., 1994; Levitus and Boyer, 1994]. To minimize the limitations of these global data in the MLD determination, a simple mixing scheme is introduced to form a stable water column. Using these new data sets, global MLD characteristics are produced on the basis of an optimal definition that employs a density-based criterion having a fixed temperature difference of DeltaT = 0.8degreesC and variable salinity. Strong seasonality of MLD is found in the subtropical Pacific Ocean and at high latitudes, as well as a very deep mixed layer in the North Atlantic Ocean in winter and a very shallow mixed layer in the Antarctic in all months. Using the climatological monthly MLD and isothermal layer depth (ILD) fields from the NMLD climatologies, an annual mean DeltaT field is presented, providing criteria for determining an ILD that is approximately equivalent to the optimal MLD. This enables MLD to be determined in cases where salinity data are not available. The validity of the correspondence between ILD and MLD is demonstrated using daily averaged subsurface temperature and salinity from two moorings: a Tropical Atmosphere Ocean array mooring in the western equatorial Pacific warm pool, where salinity stratification is important, and a Woods Hole Oceanographic Institute (WHOI) mooring in the Arabian Sea, where strongly reversing seasonal monsoon winds prevail. In the western equatorial Pacific warm pool the use of ILD criterion with an annual mean DeltaT value of 0.3degreesC yields comparable results with the optimal MLD, while large DeltaT values yield an overestimated MLD. An analysis of ILD and MLD in the WHOI mooring show that use of an incorrect DeltaT criterion for the ILD may underestimate or overestimate the optimal MLD. Finally, use of the spatial annual mean DeltaT values constructed from the NMLD climatologies can be used to estimate the optimal MLD from only subsurface temperature data via an equivalent ILD for any location over the global ocean.</t>
  </si>
  <si>
    <t>Florida State Univ, Ctr Ocean Atmospher Predict Studies, Tallahassee, FL 32306 USA; USN, Res Lab, Div Oceanog, Stennis Space Ctr, Stennis Space Ctr, MS 39529 USA</t>
  </si>
  <si>
    <t>State University System of Florida; Florida State University; National Aeronautics &amp; Space Administration (NASA); United States Department of Defense; United States Navy; Naval Research Laboratory</t>
  </si>
  <si>
    <t>Florida State Univ, Ctr Ocean Atmospher Predict Studies, Tallahassee, FL 32306 USA.</t>
  </si>
  <si>
    <t>kara@nrlssc.navy.mil; rochford@nrlssc.navy.mil; hurlburt@nrlssc.navy.mil</t>
  </si>
  <si>
    <t>10.1029/2000JC000736</t>
  </si>
  <si>
    <t>666VV</t>
  </si>
  <si>
    <t>WOS:000182197900005</t>
  </si>
  <si>
    <t>MacWilliams, B</t>
  </si>
  <si>
    <t>Russia pulls out of Antarctic station</t>
  </si>
  <si>
    <t>10.1038/422104b</t>
  </si>
  <si>
    <t>654HG</t>
  </si>
  <si>
    <t>WOS:000181488900010</t>
  </si>
  <si>
    <t>Espy, PJ; Hibbins, RE; Jones, GOL; Riggin, DM; Fritts, DC</t>
  </si>
  <si>
    <t>Rapid, large-scale temperature changes in the polar mesosphere and their relationship to meridional flows</t>
  </si>
  <si>
    <t>SUMMER MESOPAUSE CIRCULATION; GRAVITY-WAVE; PLANETARY-WAVES; THERMAL STRUCTURE; WIND-FIELD; GENERATION; DYNAMICS; BREAKING; MIDDLE; RADAR</t>
  </si>
  <si>
    <t>[1] Mesospheric temperatures derived from spectroscopic measurements of the hydroxyl (OH) nightglow have been observed from Rothera (67.6degreesS, 68.1degreesW) and Halley (75.6degreesS, 26.6degreesW) stations in Antarctica during the 2002 austral winter season. In addition to the normal seasonal changes, the temperatures at both sites, separated by 1658 km, showed several simultaneous shifts in temperature of between 10 and 20 K. These changes abruptly occurred in the space of 2-3 days and lasted for several days. These rapid variations in temperature were associated with large swings observed in the meridional component of the mesospheric wind measured by the Rothera MF radar. As there appeared to be no phase shift between the temperature variations at the two longitudinally separated stations indicating that planetary-waves caused the changes, these large-scale changes have been interpreted as variations in the inter-hemispheric meridional jet, and a corresponding modulation of the mesospheric descent and adiabatic heating rates over the polar region.</t>
  </si>
  <si>
    <t>NERC, British Antarctic Survey, Div Phys Sci, Cambridge CB3 0ET, England; NW Res Associates Inc, Colorado Res Associates, Boulder, CO 80301 USA</t>
  </si>
  <si>
    <t>UK Research &amp; Innovation (UKRI); Natural Environment Research Council (NERC); NERC British Antarctic Survey; NorthWest Research Associates</t>
  </si>
  <si>
    <t>NERC, British Antarctic Survey, Div Phys Sci, High Cross,Madingley Rd, Cambridge CB3 0ET, England.</t>
  </si>
  <si>
    <t>pje@bas.ac.uk</t>
  </si>
  <si>
    <t>Hibbins, Robert/0000-0002-6867-2255</t>
  </si>
  <si>
    <t>MAR 12</t>
  </si>
  <si>
    <t>10.1029/2002GL016452</t>
  </si>
  <si>
    <t>665ZN</t>
  </si>
  <si>
    <t>WOS:000182151300005</t>
  </si>
  <si>
    <t>Hoppema, M; de Baar, HJW; Fahrbach, E; Hellmer, HH; Klein, B</t>
  </si>
  <si>
    <t>Substantial advective iron loss diminishes phytoplankton production in the Antarctic Zone</t>
  </si>
  <si>
    <t>Southern Ocean; iron; surface layer; upwelling; Upper Circumpolar Deep Water</t>
  </si>
  <si>
    <t>WEDDELL-SCOTIA CONFLUENCE; SURFACE-LAYER BALANCE; SOUTHERN-OCEAN; CIRCUMPOLAR CURRENT; ATMOSPHERIC CO2; ATLANTIC SECTOR; WATER MASSES; SEA; CIRCULATION; WINTER</t>
  </si>
  <si>
    <t>[1] After 1 decade of research it is a well-established fact that iron limits photosynthetic CO2 fixation and phytoplankton growth in the Southern Ocean; intense blooms are scarce. However, the input of iron to the Southern Ocean is considerable. An important factor for diminished phytoplankton production refers to the meridional circulation of the Southern Ocean. Intense, spatially relatively homogeneous upwelling of Upper Circumpolar DeepWater (UCDW) causes a large iron flux into the surface layer. However, the main entrainment of upwelled UCDW into the surface layer occurs in autumn and winter, which strongly restricts the usefullness of iron supply for phytoplankton due to unfavorable light conditions. Moreover, the meridional transport within the Ekman layer is intense enough to export at least 25% of the iron input away from the Antarctic Zone before it can be used by phytoplankton. This also depresses the potential phytoplankton primary production by at least 25%. Most iron that crosses the Polar Front unused probably leaves the surface ocean north of the Polar Front because the surface water participates in Antarctic Intermediate Water/Mode Water formation.</t>
  </si>
  <si>
    <t>Univ Bremen, Inst Environm Phys, Dept Oceanog, D-28334 Bremen, Germany; Netherlands Inst Sea Res, NL-1790 AB Den Burg, Netherlands; Alfred Wegener Inst Polar &amp; Marine Res, Climate Syst Dept, D-27515 Bremerhaven, Germany</t>
  </si>
  <si>
    <t>University of Bremen; Utrecht University; Royal Netherlands Institute for Sea Research (NIOZ); Helmholtz Association; Alfred Wegener Institute, Helmholtz Centre for Polar &amp; Marine Research</t>
  </si>
  <si>
    <t>Hoppema, M (corresponding author), Alfred Wegener Inst Polar &amp; Marine Res, Climate Syst Dept, POB 120161, D-27515 Bremerhaven, Germany.</t>
  </si>
  <si>
    <t>; Hoppema, Mario/I-6286-2013</t>
  </si>
  <si>
    <t>Hellmer, Hartmut/0000-0002-9357-9853; Hoppema, Mario/0000-0002-2326-619X</t>
  </si>
  <si>
    <t>10.1029/2002GB001957</t>
  </si>
  <si>
    <t>666AH</t>
  </si>
  <si>
    <t>WOS:000182153100001</t>
  </si>
  <si>
    <t>Edwards, HGM; Newton, EM; Wynn-Williams, DD; Coombes, SR</t>
  </si>
  <si>
    <t>Molecular spectroscopic studies of lichen substances 1: parietin and emodin</t>
  </si>
  <si>
    <t>molecular spectroscopic studies; parietin; emodin; uvstress protectant; Antarctic</t>
  </si>
  <si>
    <t>ANTARCTICA; HYPERICIN</t>
  </si>
  <si>
    <t>The Raman and infrared spectra of the UV-radiation protectant parietin extracted from Xanthoria lichen species are reported and vibrational assignments made of key features which are important for the characterisation of parietin in situ in stress-tolerant living organisms. The spectra of parietin are compared with those of the chemically related emodin, which is of pharmaceutical interest. The key molecular vibrational bands of parietin will be used for the analysis of lichen specimens exposed to high UV-radiation stress growing on Leonie Island, Antarctica, under the 'ozone hole' to better understand the production of UV-protectants in controlled habitats. (C) 2003 Published by Elsevier Science B.V.</t>
  </si>
  <si>
    <t>PII S0022-2860(02)00384-8</t>
  </si>
  <si>
    <t>10.1016/S0022-2860(02)00384-8</t>
  </si>
  <si>
    <t>652MM</t>
  </si>
  <si>
    <t>WOS:000181383000005</t>
  </si>
  <si>
    <t>Archer, DE; Martin, PA; Milovich, J; Brovkin, V; Plattner, GK; Ashendel, C</t>
  </si>
  <si>
    <t>Model sensitivity in the effect of Antarctic sea ice and stratification on atmospheric pCO2 -: art. no. 1012</t>
  </si>
  <si>
    <t>glacial pCO2; Southern Ocean; sea ice; stratification</t>
  </si>
  <si>
    <t>INTERGLACIAL CO2 VARIATIONS; SOUTHERN-OCEAN; CYCLES</t>
  </si>
  <si>
    <t>[1] Several recent papers have demonstrated a decrease in atmospheric pCO(2) resulting from barriers to communication between the deep sea and the atmosphere in the Southern Ocean. Stephens and Keeling [2000] decreased pCO(2) by increasing Antarctic sea ice in a seven-box model of the world ocean, and Toggweiler [1999] showed a similar response to Southern Ocean stratification. In box models the pCO(2) of the atmosphere is controlled by the region of the surface ocean that fills the deep sea [Archer et al., 2000a]. By severing the Southern Ocean link between the deep sea and the atmosphere, atmospheric pCO(2) in these models is controlled elsewhere and typically declines, although the models range widely in their responses. Continuum models,'' such as three-dimensional (3-D) and 2-D general circulation models, control pCO(2) in a more distributed way and do not exhibit box model sensitivity to high-latitude sea ice or presumably stratification. There is still uncertainty about the high-latitude sensitivity of the real ocean. Until these model sensitivities can be resolved, glacial pCO(2) hypotheses and interpretations based on Southern Ocean barrier mechanisms (see above mentioned references plus Elderfield and Rickaby [2000], Francois et al. [1998], Gildor and Tziperman [2001], Sigman and Boyle [2000], and Watson et al. [2000]) are walking on thin ice.</t>
  </si>
  <si>
    <t>Univ Chicago, Dept Geophys Sci, Chicago, IL 60637 USA; Lawrence Livermore Natl Lab, Ctr Appl Sci Comp, Livermore, CA 94551 USA; Potsdam Inst Climate Impact Res, D-14412 Potsdam, Germany; Univ Bern, Inst Phys, Bern, Switzerland</t>
  </si>
  <si>
    <t>University of Chicago; United States Department of Energy (DOE); Lawrence Livermore National Laboratory; Potsdam Institut fur Klimafolgenforschung; University of Bern</t>
  </si>
  <si>
    <t>Archer, DE (corresponding author), Univ Chicago, Dept Geophys Sci, 5734 S Ellis Ave, Chicago, IL 60637 USA.</t>
  </si>
  <si>
    <t>Brovkin, Victor/I-7450-2012; Archer, David/K-7371-2012; Brovkin, Victor/C-2803-2016; Plattner, Gian-Kasper/A-5245-2016</t>
  </si>
  <si>
    <t>Archer, David/0000-0002-4523-7912; Brovkin, Victor/0000-0001-6420-3198; Plattner, Gian-Kasper/0000-0002-3765-0045</t>
  </si>
  <si>
    <t>MAR 11</t>
  </si>
  <si>
    <t>10.1029/2002PA000760</t>
  </si>
  <si>
    <t>667CA</t>
  </si>
  <si>
    <t>WOS:000182212200001</t>
  </si>
  <si>
    <t>Conkright, ME; Gregg, WW</t>
  </si>
  <si>
    <t>Comparison of global chlorophyll climatologies:: In situ, CZCS, Blended in situ-CZCS and SeaWiFS</t>
  </si>
  <si>
    <t>ANTARCTIC PENINSULA WATERS; OCEANIC PRIMARY PRODUCTION; NORTH PACIFIC-OCEAN; PHYTOPLANKTON PIGMENT; BIOOPTICAL PROPERTIES; SOUTHERN-OCEAN; SATELLITE CHLOROPHYLL; DATA-SET; EL-NINO; COLOR</t>
  </si>
  <si>
    <t>Chlorophyll climatologies derived from historical in situ data, Coastal Zone Color Scanner data (CZCS) and SeaWiFS (Version 3) data were intercompared to evaluate their strengths and weaknesses in representing chlorophyll distributions in the global ocean. A fourth dataset, produced by blending ill situ data with CZCS data was compared to the other three. Systematic biases were associated with each of these datasets. In situ and CZCS data appeared to underestimate chlorophyll since the blended analysis produced generally elevated values. The underestimate by situ data is related to problems mostly in the analysis of the data. CZCS underestimates are related to calibration and algorithm problems. The SeaWiFS data for the open ocean appears to be valid since its within 10% of the blended climatology for all seasons except winter. In the coastal ocean, SeaWiFS may overestimate chlorophyll with values 30-77% higher than the next closest climatology. Blending of in situ and satellite may produce the best climatology. This method takes advantage of the higher quality of in situ data. and the spatial variability of satellite sensor data, The blended method may be of greatest use for SeaWiFS in coastal areas. where the algorithm problems are greatest.</t>
  </si>
  <si>
    <t>NOAA, Ocean Climate Lab, Natl Oceanog Data Ctr, Silver Spring, MD 20910 USA; NASA, Goddard Space Flight Ctr, Lab Hydrospher Proc, Greenbelt, MD 20771 USA</t>
  </si>
  <si>
    <t>National Oceanic Atmospheric Admin (NOAA) - USA; National Aeronautics &amp; Space Administration (NASA); NASA Goddard Space Flight Center</t>
  </si>
  <si>
    <t>Conkright, ME (corresponding author), NOAA, Ocean Climate Lab, Natl Oceanog Data Ctr, E-OC5, Silver Spring, MD 20910 USA.</t>
  </si>
  <si>
    <t>MAR 10</t>
  </si>
  <si>
    <t>10.1080/01431160110115573</t>
  </si>
  <si>
    <t>662BT</t>
  </si>
  <si>
    <t>WOS:000181926400005</t>
  </si>
  <si>
    <t>Andrié, C; Gouriou, Y; Bourlès, B; Ternon, JF; Braga, ES; Morin, P; Oudot, C</t>
  </si>
  <si>
    <t>Variability of AABW properties in the equatorial channel at 35°W -: art. no. 8007</t>
  </si>
  <si>
    <t>ANTARCTIC BOTTOM WATER; WESTERN TROPICAL ATLANTIC; DEEP CIRCULATION; ARGENTINE BASIN; NORTH-ATLANTIC; WEDDELL SEA; OCEAN; DISTRIBUTIONS; CHLOROFLUOROMETHANE; MASSES</t>
  </si>
  <si>
    <t>[1] Hydrological data and tracer ( silicate, oxygen and CFCs) analyses have been performed in order to describe the time and space variability of the characteristics and transport of the Antarctic Bottom Water ( AABW) entering the equatorial channel at 35 degreesW. The 35 degreesW sections were sampled in the tropical Atlantic during several cruises from 1993 to 1999 as part of the international WOCE and CLIVAR efforts. Data for the 1990s reveal a slight warming trend superimposed on significant variability due to the seasonal changes of AABW transports. Data from previous cruises made in the 1970s and 1980s complete the time-series and show that, over the last three decades, the maximal AABW input occurred in the early 1990s.</t>
  </si>
  <si>
    <t>Univ Paris 06, CNRS, IRD, LODYC, F-75252 Paris 05, France; Ctr IRD Noumea, Noumea 98848, New Caledonia; Ctr IRD Bretagne, F-29280 Plouzane, France; Ctr IRD Cayenne, Cayenne 97323, French Guiana; IOUSP, Sao Paulo, Brazil; CNRS, Biol Stn, F-29682 Roscoff, France</t>
  </si>
  <si>
    <t>Sorbonne Universite; Institut de Recherche pour le Developpement (IRD); Centre National de la Recherche Scientifique (CNRS); Institut de Recherche pour le Developpement (IRD); Institut de Recherche pour le Developpement (IRD); Centre National de la Recherche Scientifique (CNRS)</t>
  </si>
  <si>
    <t>Andrié, C (corresponding author), Univ Paris 06, CNRS, IRD, LODYC, 4 Pl Jussieu,Case 100, F-75252 Paris 05, France.</t>
  </si>
  <si>
    <t>Braga, Elisabete/E-5285-2012; Morin, Pascal/A-1112-2016; Morin, Pascal/AHI-3070-2022; Bernard, BOURLES/I-4673-2015</t>
  </si>
  <si>
    <t>Braga, Elisabete/0000-0001-5780-3814; Morin, Pascal/0000-0003-2766-1821; Bernard, BOURLES/0000-0001-6515-4519; Ternon, Jean-Francois/0000-0002-1396-8921</t>
  </si>
  <si>
    <t>MAR 8</t>
  </si>
  <si>
    <t>10.1029/2002GL015766</t>
  </si>
  <si>
    <t>665FK</t>
  </si>
  <si>
    <t>WOS:000182108800007</t>
  </si>
  <si>
    <t>De Angelis, H; Skvarca, P</t>
  </si>
  <si>
    <t>Glacier surge after ice shelf collapse</t>
  </si>
  <si>
    <t>RETREAT; SHEET; ANTARCTICA</t>
  </si>
  <si>
    <t>The possibility that the West Antarctic Ice Sheet will collapse as a consequence of ice shelf disintegration has been debated for many years. This matter is of concern because such an event would imply a sudden increase in sea level. Evidence is presented here showing drastic dynamic perturbations on former tributary glaciers that fed sections of the Larsen Ice Shelf on the Antarctic Peninsula before its collapse in 1995. Satellite images and airborne surveys allowed unambiguous identification of active surging phases of Boydell, Sjogren, Edgeworth, Bombardier, and Drygalski glaciers. This discovery calls for a reconsideration of former hypotheses about the stabilizing role of ice shelves.</t>
  </si>
  <si>
    <t>Inst Antartico Argentino, Buenos Aires, DF, Argentina</t>
  </si>
  <si>
    <t>Instituto Antartico Argentino</t>
  </si>
  <si>
    <t>De Angelis, H (corresponding author), Inst Antartico Argentino, Cerrito 1248,C1010AAZ, Buenos Aires, DF, Argentina.</t>
  </si>
  <si>
    <t>De Angelis, Hernán/AAD-9020-2019; De Angelis, Hernán/E-1352-2012</t>
  </si>
  <si>
    <t>De Angelis, Hernán/0000-0002-8584-272X; De Angelis, Hernán/0000-0002-8584-272X</t>
  </si>
  <si>
    <t>MAR 7</t>
  </si>
  <si>
    <t>10.1126/science.1077987</t>
  </si>
  <si>
    <t>652EY</t>
  </si>
  <si>
    <t>WOS:000181367900033</t>
  </si>
  <si>
    <t>Grannas, AM; Shepson, PB</t>
  </si>
  <si>
    <t>Photochemical processes in UV-irradiated Arctic and Antarctic snow samples</t>
  </si>
  <si>
    <t>ABSTRACTS OF PAPERS OF THE AMERICAN CHEMICAL SOCIETY</t>
  </si>
  <si>
    <t>225th National Meeting of the American-Chemical-Society</t>
  </si>
  <si>
    <t>MAR 23-27, 2003</t>
  </si>
  <si>
    <t>NEW ORLEANS, LA</t>
  </si>
  <si>
    <t>Purdue Univ, Dept Chem, W Lafayette, IN 47907 USA; Purdue Univ, Dept Earth &amp; Atmospher Sci, W Lafayette, IN 47907 USA; Purdue Univ, Dept Earth &amp; Atmospher Sci, W Lafayette, IN 47907 USA</t>
  </si>
  <si>
    <t>Purdue University System; Purdue University; Purdue University System; Purdue University; Purdue University System; Purdue University</t>
  </si>
  <si>
    <t>Shepson, Paul B/E-9955-2012</t>
  </si>
  <si>
    <t>0065-7727</t>
  </si>
  <si>
    <t>ABSTR PAP AM CHEM S</t>
  </si>
  <si>
    <t>Abstr. Pap. Am. Chem. Soc.</t>
  </si>
  <si>
    <t>MAR</t>
  </si>
  <si>
    <t>024-ANYL</t>
  </si>
  <si>
    <t>U110</t>
  </si>
  <si>
    <t>761PU</t>
  </si>
  <si>
    <t>WOS:000187917800430</t>
  </si>
  <si>
    <t>Park, YC; Baker, BJ</t>
  </si>
  <si>
    <t>Synthesis and bioactivity of erebusinone, a pigment from the Antarctic sponge Isodictya erinacea.</t>
  </si>
  <si>
    <t>NEW ORLEANS, LOUISIANA</t>
  </si>
  <si>
    <t>Univ S Florida, Dept Chem, Tampa, FL 33620 USA</t>
  </si>
  <si>
    <t>State University System of Florida; University of South Florida</t>
  </si>
  <si>
    <t>ypark@chuma1.cas.usf.edu</t>
  </si>
  <si>
    <t>116-ORGN</t>
  </si>
  <si>
    <t>U298</t>
  </si>
  <si>
    <t>761PW</t>
  </si>
  <si>
    <t>WOS:000187918001521</t>
  </si>
  <si>
    <t>Squier, AH; Hodgson, DA; Keely, BJ</t>
  </si>
  <si>
    <t>Pigment biomarkers from sediments of an Antarctic Lake spanning a subglacial period</t>
  </si>
  <si>
    <t>Univ York, Dept Chem, York YO10 5DD, N Yorkshire, England</t>
  </si>
  <si>
    <t>University of York - UK</t>
  </si>
  <si>
    <t>ahs101@york.ac.uk</t>
  </si>
  <si>
    <t>084-GEOC</t>
  </si>
  <si>
    <t>U924</t>
  </si>
  <si>
    <t>WOS:000187917804289</t>
  </si>
  <si>
    <t>Wilson, MA; Squier, AH; Hodgson, DA; Keely, BJ</t>
  </si>
  <si>
    <t>High-resolution study of bacteriochlorophylls in sediments of an Antarctic Lake</t>
  </si>
  <si>
    <t>maw107@york.ac.uk</t>
  </si>
  <si>
    <t>083-GEOC</t>
  </si>
  <si>
    <t>WOS:000187917804288</t>
  </si>
  <si>
    <t>Wery, N; Gerike, U; Sharman, A; Chaudhuri, JB; Hough, DW; Danson, MJ</t>
  </si>
  <si>
    <t>Use of a packed-column bioreactor for isolation of diverse protease-producing bacteria from antarctic soil</t>
  </si>
  <si>
    <t>SEQUENCE ALIGNMENT; NOV.</t>
  </si>
  <si>
    <t>Seventy-five aerobic heterotrophs have been isolated from a packed-column bioreactor inoculated with soil from Antarctica. The column was maintained at 10degreesC and continuously fed with a casein-containing medium to enrich protease producers. Twenty-eight isolates were selected for further characterization on the basis of morphology and production of clearing zones on skim milk plates. Phenotypic tests indicated that the strains were mainly psychrotrophs and presented a high morphological and metabolical diversity. The extracellular protease activities tested were optimal at neutral pH and between 30 and 45degreesC. 16S ribosomal DNA sequence analyses showed that the bioreactor was colonized by a wide variety of taxons, belonging to various bacterial divisions: alpha-, beta-, and gamma-Proteobacteria; the Flexibacter-Cytophaga-Bacteroides group; and high G+C gram-positive bacteria and low G+C gram-positive bacteria. Some strains represent candidates for new species of the genera Chryseobacterium and Massilia. This diversity demonstrates that the bioreactor is an efficient enrichment tool compared to traditional isolation strategies.</t>
  </si>
  <si>
    <t>Univ Bath, Ctr Extremophile Res, Dept Biol &amp; Biochem, Bath BA2 7AY, Avon, England; Univ Bath, Ctr Extremophile Res, Dept Chem Engn, Bath BA2 7AY, Avon, England; Reckitt Benckiser Plc, Hull, PQ HU7 8DS, Canada</t>
  </si>
  <si>
    <t>University of Bath; University of Bath; Reckitt Benckiser</t>
  </si>
  <si>
    <t>Univ Bath, Ctr Extremophile Res, Dept Biol &amp; Biochem, Bath BA2 7AY, Avon, England.</t>
  </si>
  <si>
    <t>bssmjd@bath.ac.uk</t>
  </si>
  <si>
    <t>Chaudhuri, julian B/F-5032-2012</t>
  </si>
  <si>
    <t>Wellcome Trust Funding Source: Medline</t>
  </si>
  <si>
    <t>Wellcome Trust(Wellcome Trust)</t>
  </si>
  <si>
    <t>10.1128/AEM.69.3.1457-1464.2003</t>
  </si>
  <si>
    <t>653LA</t>
  </si>
  <si>
    <t>WOS:000181435600016</t>
  </si>
  <si>
    <t>Hughes, KA; Lawley, B; Newsham, KK</t>
  </si>
  <si>
    <t>Solar UV-B radiation inhibits the growth of antarctic terrestrial fungi</t>
  </si>
  <si>
    <t>PHYLLOPLANE FUNGI; QUERCUS-ROBUR; LITTER; DECOMPOSITION; NM</t>
  </si>
  <si>
    <t>We tested the effects of solar radiation, and UV-B in particular, on the growth of Antarctic terrestrial fungi. The growth responses to solar radiation of five fungi, Geomyces pannorum, Phoma herbarum, Pythium sp., Verticillium sp., and Mortierella parvispora, each isolated from Antarctic terrestrial habitats, were examined on an agar medium in the natural Antarctic environment. A 3-h exposure to solar radiation of &gt;287 nm reduced the hyphal extension rates of all species relative to controls kept in the dark. Pythium sp. cultures exposed to solar radiation for 1.5 h on five consecutive days were most sensitive to radiation of &gt;287 nm, but radiation of &gt;313 nm also inhibited growth to a lesser extent. Radiation of &gt;400 nm had no effect on hyphal growth relative to controls kept in the dark. Short-wave solar UV-B radiation of between 287 and 305 nm inhibited the growth of Pythium sp. hyphae on and below the surface of the agar medium after 24 h, but radiation of greater than or equal to345 nm only reduced the growth of surface hyphae. Similar detrimental effects of UV-B on surface and, to a lesser extent, submerged hyphae of all five fungi were shown in the laboratory by using artificial UV-B from fluorescent lamps. A comparison of growth responses to solar radiation and temperature showed that the species that were most resistant to UV radiation grew fastest at higher temperatures. These data suggest that solar UV-B reduces the growth of fungi on the soil surface in the Antarctic terrestrial environment.</t>
  </si>
  <si>
    <t>Hughes, KA (corresponding author), British Antarctic Survey, Nat Environm Res Council, High Cross,Madingley Rd, Cambridge CB3 0ET, England.</t>
  </si>
  <si>
    <t>Newsham, Kevin K/C-4192-2011; Hughes, Kevin/JVZ-0793-2024</t>
  </si>
  <si>
    <t>10.1128/AEM.69.3.1488-1491.2003</t>
  </si>
  <si>
    <t>WOS:000181435600020</t>
  </si>
  <si>
    <t>Cockell, CS; Osinski, GR; Lee, P</t>
  </si>
  <si>
    <t>The impact crater as a habitat: Effects of impact processing of target materials</t>
  </si>
  <si>
    <t>10th Rubey Colloquium</t>
  </si>
  <si>
    <t>FEB 08-09, 2002</t>
  </si>
  <si>
    <t>LOS ANGELES, CA</t>
  </si>
  <si>
    <t>crater; impact; succession; recolonization; Haughton; Breccia</t>
  </si>
  <si>
    <t>MOUNT-ST-HELENS; DEVON ISLAND; POLAR DESERT; PLANT-DISTRIBUTION; HAUGHTON FORMATION; NWT; VEGETATION; PATTERNS</t>
  </si>
  <si>
    <t>Impact structures are a rare habitat on Earth. However, where they do occur they can potentially have an important influence on the local ecology. Some of the types of habitat created in the immediate post-impact environment are not specific to the impact phenomenon, such as hydrothermal systems and crater lakes that can be found, for instance, in post-volcanic environments, albeit with different thermal characteristics than those associated with impact. However, some of the habitats created are specifically linked to processes of impact processing. Two examples of how impact processing of target materials has created novel habitats that improve the opportunities for colonization are found in the Haughton impact structure in the Canadian High Arctic. Impact-shocked rocks have become a habitat for endolithic microorganisms, and large, impact-shattered blocks of rock are used as resting sites by avifauna. However, some materials produced by an impact, such as melt sheet rocks, can make craters more biologically depauperate than the area surrounding them. Although there are no recent craters with which to study immediate post-impact colonization, these data yield insights into generalized mechanisms of how impact processing can influence post-impact succession. Because impact events are one of a number of processes that can bring localized destruction to ecosystems, understanding the manner in which impact structures are recolonized is of ecological interest. Impact craters are a universal phenomenon on solid planetary surfaces, and so they are of potential biological relevance on other planetary surfaces, particularly Mars.</t>
  </si>
  <si>
    <t>NASA, Ames Res Ctr, SETI Inst, Moffett Field, CA 94035 USA; Univ New Brunswick, Dept Geol, Planetary &amp; Space Sci Ctr, Fredericton, NB, Canada</t>
  </si>
  <si>
    <t>National Aeronautics &amp; Space Administration (NASA); NASA Ames Research Center; University of New Brunswick</t>
  </si>
  <si>
    <t>Cockell, CS (corresponding author), British Antarctic Survey, High Cross,Madingley Rd, Cambridge CB1 3AR, England.</t>
  </si>
  <si>
    <t>csco@bas.ac.uk</t>
  </si>
  <si>
    <t>SPR</t>
  </si>
  <si>
    <t>10.1089/153110703321632507</t>
  </si>
  <si>
    <t>676LF</t>
  </si>
  <si>
    <t>WOS:000182753000013</t>
  </si>
  <si>
    <t>Smith, J</t>
  </si>
  <si>
    <t>Smith, Jeremy</t>
  </si>
  <si>
    <t>Bridging Wallace's Line: the Environmental and Cultural History and Dynamics of the Southeast Asian-Australian Region</t>
  </si>
  <si>
    <t>AUSTRALIAN GEOGRAPHICAL STUDIES</t>
  </si>
  <si>
    <t>[Smith, Jeremy] Australian Antarctic Div, Kingston, Tas, Australia</t>
  </si>
  <si>
    <t>Smith, J (corresponding author), Australian Antarctic Div, Kingston, Tas, Australia.</t>
  </si>
  <si>
    <t>INST AUSTRALIAN GEOGRAPHERS BUSINESS MANAGER</t>
  </si>
  <si>
    <t>ARMIDALE NSW</t>
  </si>
  <si>
    <t>DEPT GEOGRAPHY &amp; PLANNING UNIV NEW ENGLAND, ARMIDALE NSW, 2351, AUSTRALIA</t>
  </si>
  <si>
    <t>0004-9190</t>
  </si>
  <si>
    <t>AUST GEOGR STUD</t>
  </si>
  <si>
    <t>Geography</t>
  </si>
  <si>
    <t>V26UJ</t>
  </si>
  <si>
    <t>WOS:000208570200011</t>
  </si>
  <si>
    <t>McCall, T; Haward, M</t>
  </si>
  <si>
    <t>The Tasmanian election of 20 July 2002</t>
  </si>
  <si>
    <t>AUSTRALIAN JOURNAL OF POLITICAL SCIENCE</t>
  </si>
  <si>
    <t>Univ Tasmania, Sch Govt, Hobart, Tas 7001, Australia; Univ Tasmania, Inst Antarctic &amp; So Ocean Studies, Hobart, Tas 7001, Australia</t>
  </si>
  <si>
    <t>McCall, T (corresponding author), Univ Tasmania, Sch Govt, Hobart, Tas 7001, Australia.</t>
  </si>
  <si>
    <t>Haward, Marcus/G-3369-2014</t>
  </si>
  <si>
    <t>Haward, Marcus/0000-0003-4775-0864</t>
  </si>
  <si>
    <t>CARFAX PUBLISHING</t>
  </si>
  <si>
    <t>BASINGSTOKE</t>
  </si>
  <si>
    <t>RANKINE RD, BASINGSTOKE RG24 8PR, HANTS, ENGLAND</t>
  </si>
  <si>
    <t>1036-1146</t>
  </si>
  <si>
    <t>AUST J POLIT SCI</t>
  </si>
  <si>
    <t>Aust. J. Polit. Sci.</t>
  </si>
  <si>
    <t>10.1080/1036114032000056305</t>
  </si>
  <si>
    <t>Political Science</t>
  </si>
  <si>
    <t>Government &amp; Law</t>
  </si>
  <si>
    <t>669BG</t>
  </si>
  <si>
    <t>WOS:000182331600008</t>
  </si>
  <si>
    <t>Li, SH; Cordero, EC; Karoly, DJ</t>
  </si>
  <si>
    <t>Three-dimensional simulations of springtime dissipation of the Antarctic ozone hole</t>
  </si>
  <si>
    <t>METEOROLOGYS GLOBAL ASSIMILATION; GENERAL-CIRCULATION MODEL; POLAR VORTEX; PREDICTION SYSTEM; MIDDLE ATMOSPHERE; TRANSPORT; EVOLUTION; DEPLETION; AEROSOL; BUREAU</t>
  </si>
  <si>
    <t>A three-dimensional offline transport model is used to study the evolution of the Antarctic ozone hole in spring 1994. The modelled ozone profiles generated using winds from the UK Meteorological Office (UKMO), including the whole stratosphere, are closer to observations than simulations driven by operational weather analyses from the Global Assimilation and Prediction system (GASP), with highest level at 10 hPa. Model simulations are also fairly insensitive to horizontal or temporal resolution of the input driving fields, particularly at middle and high latitudes. While the large-scale synoptic variations in simulated total ozone are in good agreement with satellite observations, the model underpredicts total ozone at high latitudes during the ozone hole recovery phase. Further analysis suggests that the polar stratospheric clouds (PSC) chemical parametrisation is not appropriate for the specific spring of 1994. In addition, our results also suggest that dynamics are partially responsible for the slower than observed recovery of column ozone.</t>
  </si>
  <si>
    <t>Li, SH (corresponding author), NASA, Data Assimilat Off, Goddard Space Flight Ctr, Code 910-4, Greenbelt, MD 20771 USA.</t>
  </si>
  <si>
    <t>676VX</t>
  </si>
  <si>
    <t>WOS:000182774200001</t>
  </si>
  <si>
    <t>Klok, CJ; Chown, SL</t>
  </si>
  <si>
    <t>Resistance to temperature extremes in sub-Antarctic weevils: interspecific variation, population differentiation and acclimation</t>
  </si>
  <si>
    <t>BIOLOGICAL JOURNAL OF THE LINNEAN SOCIETY</t>
  </si>
  <si>
    <t>ectotherm; phenotypic plasticity; species borders; thermal tolerance</t>
  </si>
  <si>
    <t>DROSOPHILA-MELANOGASTER; HEAT-SHOCK; HSP70 EXPRESSION; DESICCATION RESISTANCE; THERMAL TOLERANCE; STRESS RESISTANCE; COLD-SHOCK; CLIMATIC ADAPTATIONS; LABORATORY SELECTION; GENETIC-VARIATION</t>
  </si>
  <si>
    <t>Much of the work on the responses of terrestrial arthropods to high and low temperatures has been done on model organisms such as Drosophila. However, considerable variation in thermotolerance is partitioned at the family level and above, raising questions about the broader applicability of this work to other taxa. Here we investigate resistance to high and low temperatures, following different temperature treatments, in ten species and 31 populations of weevils found on sub-Antaretic Heard Island and Marion Island, which have substantially different climates. In these weevils there is considerable interspecific and among-population variation in critical thermal minimum (CTmin) and critical thermal maximum (CTmax), but most of this variation in critical limits can be ascribed to phenotypic plasticity. We find no relationship between CTmin and CTmax at the species level, and this is true also of populations and of responses to the temperature treatments. In general, plastic (acclimation) changes in CTmin are larger than those in CTmax. Our data therefore provide support for the idea that resistance to heat and to cold are decoupled in terrestrial arthropods. Furthermore, our results suggest that investigations of physiological limits to species borders should incorporate the effects of phenotypic plasticity on physiological capabilities. (C) 2003 The Linnean Society of London.</t>
  </si>
  <si>
    <t>Univ Stellenbosch, Dept Zool, Private Bag X1, ZA-7602 Matieland, South Africa.</t>
  </si>
  <si>
    <t>0024-4066</t>
  </si>
  <si>
    <t>1095-8312</t>
  </si>
  <si>
    <t>BIOL J LINN SOC</t>
  </si>
  <si>
    <t>Biol. J. Linnean Soc.</t>
  </si>
  <si>
    <t>10.1046/j.1095-8312.2003.00154.x</t>
  </si>
  <si>
    <t>Evolutionary Biology</t>
  </si>
  <si>
    <t>659NW</t>
  </si>
  <si>
    <t>WOS:000181784300009</t>
  </si>
  <si>
    <t>Cofaigh, C; Taylor, J; Dowdeswell, JA; Pudsey, CJ</t>
  </si>
  <si>
    <t>Palaeo-ice streams, trough mouth fans and high-latitude continental slope sedimentation</t>
  </si>
  <si>
    <t>Palaeo Ice Stream International Symposium</t>
  </si>
  <si>
    <t>OCT 17-20, 2001</t>
  </si>
  <si>
    <t>UNIV AARHUS, AARHUS, DENMARK</t>
  </si>
  <si>
    <t>UNIV AARHUS</t>
  </si>
  <si>
    <t>GLACIGENIC DEBRIS FLOWS; WESTERN BARENTS SEA; WEDDELL SEA; CENOZOIC SEDIMENTATION; ANTARCTIC PENINSULA; HEINRICH LAYERS; PRYDZ BAY; MARGIN; SHEET; DEPOSITION</t>
  </si>
  <si>
    <t>The classical model of trough mouth fan (TMF) formation was developed in the Polar North Atlantic to explain large submarine fans situated in front of bathymetric troughs that extend across continental shelves to the shelf break. This model emphasizes the delivery of large volumes of subglacial sediment to the termini of ice streams flowing along troughs, and subsequent re-deposition of this glacigenic sediment down the continental slope via debris-flow processes. However, there is considerable variation in terms of the morphology and large-scale sediment architecture of continental slopes in front of palaeo-ice streams. This variability reflects differences in slope gradient, the relative contributions of meltwater sedimentation compared with debris-flow deposition, and sediment supply/geology of the adjacent continental shelf. TMF development is favoured under conditions of a low (&lt;1 degrees) slope gradient; a passive-margin tectonic setting; abundant, readily erodible sediments on the continental shelf - and thus associated high rates of sediment delivery to the shelf edge; and a wide continental shelf. The absence of large sediment fans on continental slopes in front of cross-shelf troughs should not, however, be taken to indicate the former absence of palaeo-ice streams in the geological record.</t>
  </si>
  <si>
    <t>Univ Cambridge, Scott Polar Res Inst, Cambridge CB2 1ER, England; Univ Cambridge, Dept Geog, Cambridge CB2 1ER, England; Univ Wales, Inst Geog &amp; Earth Sci, Ctr Glaciol, Aberystwyth SY23 3DB, Dyfed, Wales; British Antarctic Survey, Cambridge CB3 0ET, England</t>
  </si>
  <si>
    <t>University of Cambridge; University of Cambridge; Aberystwyth University; UK Research &amp; Innovation (UKRI); Natural Environment Research Council (NERC); NERC British Antarctic Survey</t>
  </si>
  <si>
    <t>Univ Cambridge, Scott Polar Res Inst, Cambridge CB2 1ER, England.</t>
  </si>
  <si>
    <t>co232@cam.ac.uk</t>
  </si>
  <si>
    <t>Ó Cofaigh, Colm/D-9131-2012</t>
  </si>
  <si>
    <t>10.1080/03009480310001858</t>
  </si>
  <si>
    <t>671LF</t>
  </si>
  <si>
    <t>WOS:000182465700004</t>
  </si>
  <si>
    <t>Bougamont, M; Tulaczyk, S</t>
  </si>
  <si>
    <t>Glacial erosion beneath ice streams and ice-stream tributaries: constraints on temporal and spatial distribution of erosion from numerical simulations of a West Antarctic ice stream</t>
  </si>
  <si>
    <t>PLEISTOCENE-HOLOCENE RETREAT; TILL DEFORMATION; ROSS SEA; SUBGLACIAL SEDIMENTS; FORCE BUDGET; SHEET SYSTEM; RING-SHEAR; FLOW; BEHAVIOR; MODEL</t>
  </si>
  <si>
    <t>Geologic evidence such as subglacial troughs and grounding zone wedges indicate that soft-bedded, West Antarctic ice streams are capable of eroding, transporting and depositing large volumes of debris at high rates (similar to100 m(3) yr(-1) per meter width). In order to understand the dynamics of ice streams and the geologic effects of their activity, it is important to understand the physical mechanisms that control these high rates of sub-ice-stream sediment generation and transport. Here, we use a numerical model of Ice Stream C run over c. 8500 model years to quantify the effects of a recently proposed, till-ploughing mechanism of till formation and redistribution beneath ice streams (Tulaczyk et al. 2001; Clark et al. in press). Our results show that this 'transport-limited' mechanism, in which till transport rates scale with ice velocity and erosion rates with spatial gradients of veloclity, is consistent with existing constraints. For instance, our model results predict significantly higher (similar to0.6 mm yr(-1)) average erosion rates beneath ice-stream tributaries, which are underlain by deep subglacial troughs, than beneath ice-stream trunks (similar to0.2 mm yr(-1)), whose subglacial troughs have a significantly smaller relief. We would not obtain this satisfactory result if subglacial erosion was parametrized in the model using the more traditional approach of scaling erosion rates with ice velocity (what we call the 'production-limited' parametrization). Because of the requirement of ice continuity, the magnitude of ice velocity generally increases downstream in polar ice streams. and so do the production-limited erosion rates. Pending further investigations, we propose that transportgeologic and geomorphic effects of soft-bedded ice streams should be quantified using some form of a limited' parametrization of subglacial erosion rates, e.g. the till-ploughing mechanism.</t>
  </si>
  <si>
    <t>Univ Calif Santa Cruz, Dept Earth Sci, Santa Cruz, CA 95064 USA</t>
  </si>
  <si>
    <t>Univ Calif Santa Cruz, Dept Earth Sci, 1156 High St, Santa Cruz, CA 95064 USA.</t>
  </si>
  <si>
    <t>marion@es.ucsc.edu</t>
  </si>
  <si>
    <t>; Tulaczyk, Slawek/O-7375-2018</t>
  </si>
  <si>
    <t>Bougamont, Marion Heidi/0000-0001-7196-4171; Tulaczyk, Slawek/0000-0002-9711-4332</t>
  </si>
  <si>
    <t>10.1080/03009480310001092</t>
  </si>
  <si>
    <t>WOS:000182465700012</t>
  </si>
  <si>
    <t>Xue, F; Wang, HJ; He, JH</t>
  </si>
  <si>
    <t>Interannual variability of Mascarene high and Australian high and their influences on summer rainfall over East Asia</t>
  </si>
  <si>
    <t>Mascarene high; Australian high; interannual variability; summer rainfall in East Asia</t>
  </si>
  <si>
    <t>Based on the reanalysis data from NCEP/NCAR and other observational data, interannual variability of Mascarene high (MH) and Australian high (AH) from 1970 to 1999 is examined. It is shown that interannual variability of MH is dominated by the Antarctic oscillation (AAO), when the circumpolar low in the high southern latitudes deepens, the intensity of MH will be intensified. On the other hand, AH is correlated by AAO as well as El Nino and South Oscillation (ENSO), the intensity of AH will be intensified when El Nino occurs. Both correlation analysis and case study demonstrate that summer rainfall over East Asia is closely related to MH and AH. When MH intensifies from boreal spring to summer (i.e. from austral autumn to winter), there is more rainfall over regions from the Yangtze River valley to Japan, in contrast, less rainfall is found over southern China and western Pacific to the east of Taiwan, and most of regions in mid-latitudes of East Asia. Compared with MH, the effect of AH on summer rainfall in East Asia is limited to localized regions, there is more rainfall over southern China with the intensification of AH. The results in this study show that AAO is a strong signal on interannual time-scale, which plays an important role in summer rainfall over East Asia. This discovery is of real importance to revealing the physical mechanism of interannual variability of East Asian summer monsoon and prediction of summer precipitation in China.</t>
  </si>
  <si>
    <t>Chinese Acad Sci, Inst Atmospher Phys, LASG, Beijing 100029, Peoples R China; Nanjing Inst Meteorol, KLME, Nanjing 210044, Peoples R China</t>
  </si>
  <si>
    <t>Chinese Academy of Sciences; Institute of Atmospheric Physics, CAS; Nanjing University of Information Science &amp; Technology</t>
  </si>
  <si>
    <t>Xue, F (corresponding author), Chinese Acad Sci, Inst Atmospher Phys, LASG, Beijing 100029, Peoples R China.</t>
  </si>
  <si>
    <t>10.1360/03tb9104</t>
  </si>
  <si>
    <t>659RA</t>
  </si>
  <si>
    <t>WOS:000181790200019</t>
  </si>
  <si>
    <t>Mélice, JL; Servain, J</t>
  </si>
  <si>
    <t>The tropical Atlantic meridional SST gradient index and its relationships with the SOI, NAO and Southern Ocean</t>
  </si>
  <si>
    <t>SEA-SURFACE TEMPERATURE; ANTARCTIC CIRCUMPOLAR WAVE; NORTHEAST BRAZIL RAINFALL; CIRCULATION PATTERNS; WINTER TEMPERATURES; WIND STRESS; VARIABILITY; CLIMATE; OSCILLATION; ANOMALIES</t>
  </si>
  <si>
    <t>The tropical Atlantic meridional SST gradient (TAMG) is a mode of climatic variability known to be largely associated with abnormal rainfall regimes in South America and West Africa. A TAMG index is defined by the difference between area indices of sea surface temperature anomaly north (TN index) and south (TS index) of the meteorological equator (similar to5degreesN). We investigate, for the 1964-1998 period, the decadal variability of the TAMG index and the relationship of its TN and TS components with the Southern Oscillation Index (SOI), the North Atlantic Oscillation (NAO), sea level pressure (SLP) signals in South Atlantic islands, the global NCEP-NCAR SLP field, and sea-ice extent data in the Southern Ocean. We explore the relationship between the SOI and the TN and TS signals, after estimating their fluctuating lags with the cross-wavelet transform technique. The SOI always leads TN with an average time lead of 5.4 months. On the contrary, TS leads the SOI by similar to4 months after 1984. When exploring the origin of such a precursory event of the SOI, observed in TS, it is found that the highest correlation between TS, the global SLP field, and the sea-ice extent around Antarctica is located in the Ross sea, where the ice signal leads the SOL High correlation between TS and the SLP field is also observed in the western tropical Pacific. The continuous wavelet transform is then used to extract the low-frequency components of the TN and TS signals. These components are strong well-defined oscillations with mean periods at 9.6 years for TN and 14 years for TS. Given this asynchronous non-dipole nature of the TN and TS decadal components, we can anticipate that the TAMG undergoes decadal oscillations that are variable on a longer multi-decadal time-scale. These components are also very similar to the low-frequency components of the NAO index, for TN (with the NAO leading TN by 14 months) and SLP anomaly signals at St. Helena and Tristan da Cunha islands, for TS. These results indicate that the TN or TS decadal component is each related to the larger climatic milieu in the same hemisphere, but that the climatic milieu of the South Atlantic is distinct from that of the North Atlantic.</t>
  </si>
  <si>
    <t>Univ Paris 06, Inst Pierre Simon Laplace, CNRS,IRD, UMR 7617,Lab Oceanog Dynam &amp; Climatol, F-75252 Paris 05, France; FUNCEME, IRD, Fortaleza, Ceara, Brazil</t>
  </si>
  <si>
    <t>Centre National de la Recherche Scientifique (CNRS); CNRS - National Institute for Earth Sciences &amp; Astronomy (INSU); Universite Paris Saclay; Institut de Recherche pour le Developpement (IRD); Universite Paris Cite; Sorbonne Universite; Comissao Nacional de Energia Nuclear (CNEN); Instituto de Radioprotecao e Dosimetria</t>
  </si>
  <si>
    <t>jlmelice@lodyc.jussieu.fr</t>
  </si>
  <si>
    <t>10.1007/s00382-002-0289-x</t>
  </si>
  <si>
    <t>671UN</t>
  </si>
  <si>
    <t>WOS:000182482600002</t>
  </si>
  <si>
    <t>Tin, T; Jeffries, MO</t>
  </si>
  <si>
    <t>Morphology of deformed first-year sea ice features in the Southern Ocean</t>
  </si>
  <si>
    <t>pressure ridges; rubble piles; Weddell sea; Ross sea; Antarctica; rafting; ridging</t>
  </si>
  <si>
    <t>THICKNESS DISTRIBUTION; PRESSURE RIDGES; BEAUFORT SEA; WEDDELL SEA; LATE WINTER; SNOW COVER; VARIABILITY; TOPOGRAPHY; AMUNDSEN; MODEL</t>
  </si>
  <si>
    <t>A total of 42 deformed sea-ice features were identified in almost 19 km of drill profile data from the Ross, Amundsen, Bellingshausen and Weddell Seas. The features were classified according to the shapes of their keels underwater and the presence of a sail on the surface. Coupled ridges have triangular keels and sails and, with mean maximum keel depth of 3.61 m, they are the most massive of the deformed ice features. Widowed ridges have a triangular keel similar to those of coupled ridges but do not have a prominent ice sail. With a mean ridge width of 15 m, they are the narrowest of the deformed ice features. Rubble piles are the widest, but they contribute least to the total ice mass. Ignoring the ice mass of deformed ice features and approximating their thickness by surrounding level ice underestimates the total ice mass by 44-55%. First-year ridges in the Antarctic are flatter and less massive than those in the Arctic. We propose that the differences in morphology are due to differences in sampling strategies, parent-ice characteristics and the magnitude and duration of driving forces. For the purpose of estimating ice thickness from surface observations, we believe hydrostatic equilibrium is a fair assumption on large scales, but statistical relationships between variables that can be observed from the surface and variables that are hidden from the surface are not sufficiently strong and consistent for the estimation of ice thickness. In all cases, the fact that not all keels are associated with a sail and not all sails are associated with a keel should be addressed when estimating ice thickness from surface observations. (C) 2003 Elsevier Science B.V. All rights reserved.</t>
  </si>
  <si>
    <t>Univ Alaska Fairbanks, Inst Geophys, Fairbanks, AK 99775 USA</t>
  </si>
  <si>
    <t>University of Alaska System; University of Alaska Fairbanks</t>
  </si>
  <si>
    <t>Tin, T (corresponding author), Univ Alaska Fairbanks, Inst Geophys, 903 Koyukuk Dr, Fairbanks, AK 99775 USA.</t>
  </si>
  <si>
    <t>tina.tin@gi.alaska.edu</t>
  </si>
  <si>
    <t>10.1016/S0165-232X(03)00008-9</t>
  </si>
  <si>
    <t>663JL</t>
  </si>
  <si>
    <t>WOS:000182002400012</t>
  </si>
  <si>
    <t>Ohishi, K; Zenitani, R; Bando, T; Goto, Y; Uchida, K; Maruyama, T; Yamamoto, S; Miyazaki, N; Fujise, Y</t>
  </si>
  <si>
    <t>Pathological and serological evidence of Brucella-infection in baleen whales (Mysticeti) in the western North Pacific</t>
  </si>
  <si>
    <t>COMPARATIVE IMMUNOLOGY MICROBIOLOGY AND INFECTIOUS DISEASES</t>
  </si>
  <si>
    <t>Brucella; Cetacean; Minke whale; orchitis; testis</t>
  </si>
  <si>
    <t>MARINE MAMMALS; MOLECULAR CHARACTERIZATION; SPECIES INFECTION; RINGED SEALS; ANTIBODIES; EXPOSURE; CATTLE</t>
  </si>
  <si>
    <t>Abnormal testes and uterus were observed in 13 males (33%) and one female (3%) out of 40 common minke whales (Balaenoptera acutorostrata) in the western North Pacific. Similar lesions were found in testis and ovary, respectively, in one male (2%) and female (2%) out of 43 Bryde's whales (Balaenoptera edeni) in the western North Pacific. Grossly, granular lesions with caseation and calcification were main pathological signs, and they were restricted to reproductive organs of mature whales. Chronic purulent or granulomatous orchitis was observed by microscopic analysis. Antibodies to Brucella species were detected in the serum samples of 15/40 (38%) of common minke whales and 4/43 (9%) of Bryde's whales. Neither pathological nor serological change was found in the examined sperm whales (Physeter macrocephalus) in the western North Pacific and Antarctic minke whales (Balaenoptera bonaerensis). These results strongly suggest that Brucella infection was involved in two species of baleen whales (Mysticeti) in the North Pacific. (C) 2002 Elsevier Science Ltd. All rights reserved.</t>
  </si>
  <si>
    <t>Inst Cetacean Res, Div Res, Chuo Ku, Tokyo 1040055, Japan; Univ Tokyo, Otsuchi Marine Res Ctr, Ocean Res Inst, Otsuchi, Iwate 0281102, Japan; Natl Inst Infect Dis, Dept Bacterial Pathogenesis &amp; Infect Control, Tokyo 2080011, Japan; Miyazaki Univ, Fac Agr, Miyazaki 8892192, Japan; Marine Biotechnol Inst, Kamaishi, Iwate 0260001, Japan</t>
  </si>
  <si>
    <t>University of Tokyo; National Institute of Infectious Diseases (NIID); University of Miyazaki</t>
  </si>
  <si>
    <t>Inst Cetacean Res, Div Res, Chuo Ku, 4-5 Toyomi Cho, Tokyo 1040055, Japan.</t>
  </si>
  <si>
    <t>fujise@i-cetacean-r.or.jp</t>
  </si>
  <si>
    <t>Miyazaki, Nobuyuki/0000-0001-8094-683X</t>
  </si>
  <si>
    <t>0147-9571</t>
  </si>
  <si>
    <t>1878-1667</t>
  </si>
  <si>
    <t>COMP IMMUNOL MICROB</t>
  </si>
  <si>
    <t>Comp. Immunol. Microbiol. Infect. Dis.</t>
  </si>
  <si>
    <t>PII S0147-9571(02)00036-X</t>
  </si>
  <si>
    <t>10.1016/S0147-9571(02)00036-X</t>
  </si>
  <si>
    <t>Immunology; Microbiology; Veterinary Sciences</t>
  </si>
  <si>
    <t>645YQ</t>
  </si>
  <si>
    <t>WOS:000181008400005</t>
  </si>
  <si>
    <t>Li, YX; Zdanowicz, M; Young, L; Kumiski, D; Leatherbury, L; Kirby, ML</t>
  </si>
  <si>
    <t>Cardiac neural crest in zebratish embryos contributes to myocardial cell lineage and early heart function</t>
  </si>
  <si>
    <t>DEVELOPMENTAL DYNAMICS</t>
  </si>
  <si>
    <t>zebrafish; heart development; cardiac neural crest; ablations; ventricular function</t>
  </si>
  <si>
    <t>PERSISTENT TRUNCUS ARTERIOSUS; CARDIOVASCULAR DEVELOPMENT; CHICK-EMBRYOS; HEMODYNAMIC-CHANGES; ANTARCTIC TELEOSTS; BULBUS ARTERIOSUS; ZEBRAFISH; ABLATION; SEPTATION; PHENOTYPE</t>
  </si>
  <si>
    <t>Myocardial dysfunction is evident within hours after ablation of the cardiac neural crest in chick embryos, suggesting a role for neural crest in myocardial maturation that is separate from its role in outflow septation. This role could be conserved in an animal that does not have a divided systemic and pulmonary circulation, such as zebrafish. To test this hypothesis, we used cell marking to identify the axial level of neural crest that migrates to the heart in zebrafish embryos. Unlike the chick and mouse, the zebrafish cardiac neural crest does not originate from the axial level of the somites. The region of neural crest cranial to somite 1 was found to contribute cells to the heart. Cells from the cardiac neural crest migrated to the myocardial wall of the heart tube, where some of them expressed a myocardial phenotype. Laser ablation of the cardiac premigratory neural crest at the three-to four-somite stage resulted in loss of the neural crest cells migrating to the heart as shown by the absence of AP2- and HNK1- expressing cells and failure of the heart tube to undergo looping. Myocardial function was assessed 24 hr after the cardiac neural crest ablation in a subpopulation of embryos with normal heart rate. Decreased stroke volume, ejection fraction, and cardiac output were observed, indicating a more severe functional deficit in cardiac neural crest-ablated zebrafish embryos compared with neural crest-ablated chick embryos. These results suggest a new role for cardiac neural crest cells in vertebrate cardiac development and are the first report of a myocardial cell lineage for neural crest derivatives. (C) 2003 Wiley-Liss, Inc.</t>
  </si>
  <si>
    <t>Duke Univ, Med Ctr, Dept Pediat, Div Neonatol,Neonatal Perinatal Res Inst, Durham, NC 27712 USA; Med Coll Georgia, Inst Mol Med &amp; Genet, Dev Biol Program, Augusta, GA 30912 USA; Childrens Natl Med Ctr, Dept Cardiol, Washington, DC 20010 USA</t>
  </si>
  <si>
    <t>Duke University; University System of Georgia; Augusta University; Children's National Health System</t>
  </si>
  <si>
    <t>Kirby, ML (corresponding author), Duke Univ, Med Ctr, Dept Pediat, Div Neonatol,Neonatal Perinatal Res Inst, 307B Nanaline Res Dr, Durham, NC 27712 USA.</t>
  </si>
  <si>
    <t>NHLBI NIH HHS [HL36059] Funding Source: Medline; NICHD NIH HHS [HD39946, HD17063] Funding Source: Medline</t>
  </si>
  <si>
    <t>NHLBI NIH HHS(United States Department of Health &amp; Human ServicesNational Institutes of Health (NIH) - USANIH National Heart Lung &amp; Blood Institute (NHLBI)); NICHD NIH HHS(United States Department of Health &amp; Human ServicesNational Institutes of Health (NIH) - USANIH Eunice Kennedy Shriver National Institute of Child Health &amp; Human Development (NICHD))</t>
  </si>
  <si>
    <t>1058-8388</t>
  </si>
  <si>
    <t>DEV DYNAM</t>
  </si>
  <si>
    <t>Dev. Dyn.</t>
  </si>
  <si>
    <t>10.1002/dvdy.10264</t>
  </si>
  <si>
    <t>Anatomy &amp; Morphology; Developmental Biology</t>
  </si>
  <si>
    <t>651NL</t>
  </si>
  <si>
    <t>WOS:000181326000010</t>
  </si>
  <si>
    <t>Clarke, A; Harris, CM</t>
  </si>
  <si>
    <t>Polar marine ecosystems: major threats and future change</t>
  </si>
  <si>
    <t>ENVIRONMENTAL CONSERVATION</t>
  </si>
  <si>
    <t>Arctic; Antarctic; oceanography; climate change; biological impacts; ozone depletion; pollution; circumpolar current; polar marine ecosystems</t>
  </si>
  <si>
    <t>ARCTIC-SEA-ICE; WESTERN ANTARCTIC PENINSULA; CLIMATE-CHANGE; SOUTH-GEORGIA; HEAVY-METALS; ATMOSPHERIC-POLLUTION; ENVIRONMENTAL-CHANGE; NORTHERN-HEMISPHERE; GREENLAND SNOW; OCEAN</t>
  </si>
  <si>
    <t>This review of polar marine ecosystems covers both the Arctic and Antarctic, identifying the major threats and, where possible, predicting their possible state(s) in 2025. Although the two polar regions are similar in their extreme photoperiod, low temperatures, and in being heavily influenced by snow and ice, in almost all other respects they are very different. The Arctic Ocean is a basin surrounded by continental landmasses, close to, and influenced by, large populations and industrial activities. In contrast, the Southern Ocean is contiguous with all the other great oceans and surrounds a single land mass; Antarctica is remote from major centres of population and sources of pollution. Marine environments in both polar regions have been highly disturbed by fishing activity, but, in terms of pollution, some areas remain among the most pristine in the world. There are, however, both local and global pressures. Over the 2025 time horizon, the greatest concern for the Arctic is probably the ecological implications of climate change, particularly insofar as sea ice extent and duration are likely to be affected. Such changes are not expected to be as pronounced in the Southern Ocean over this time period, and concerns are related more to direct threats from harvesting of marine living resources, and the ability to manage these fisheries sustainably. In both polar regions, the capacity of marine ecosystems to withstand the cumulative impact of a number of pressures, including climate change, pollution and overexploitation, acting synergistically is of greatest concern.</t>
  </si>
  <si>
    <t>British Antarctic Survey, Cambridge CB3 0ET, England; Environm Res &amp; Assessment, Grantchester CB3 9NE, England</t>
  </si>
  <si>
    <t>British Antarctic Survey, High Cross,Madingley Rd, Cambridge CB3 0ET, England.</t>
  </si>
  <si>
    <t>andrew.clarke@bas.ac.uk</t>
  </si>
  <si>
    <t>0376-8929</t>
  </si>
  <si>
    <t>1469-4387</t>
  </si>
  <si>
    <t>ENVIRON CONSERV</t>
  </si>
  <si>
    <t>Environ. Conserv.</t>
  </si>
  <si>
    <t>10.1017/S0376892903000018</t>
  </si>
  <si>
    <t>Biodiversity Conservation; Environmental Sciences</t>
  </si>
  <si>
    <t>677DN</t>
  </si>
  <si>
    <t>WOS:000182791800001</t>
  </si>
  <si>
    <t>Vetter, W; Weichbrodt, M; Stoll, E</t>
  </si>
  <si>
    <t>Indication of geographic variations of organochlorine concentrations in the blubber of Antarctic Weddell seals (Leptonychotes Weddelli)</t>
  </si>
  <si>
    <t>MICROWAVE-ASSISTED EXTRACTION; CONGENER-SPECIFIC DETERMINATION; GEL-PERMEATION CHROMATOGRAPHY; CHLORINATED HYDROCARBONS; MARINE MAMMALS; COD LIVERS; TOXAPHENE; FISH; CHLORDANE; RESIDUES</t>
  </si>
  <si>
    <t>A sample cleanup procedure using microwave-assisted extraction (MAE) with focus open vessel (FOV-MAE) technique was validated for the determination of organohalogen compounds in the blubber of a Weddell seal (Leptonychotes Weddelli) from the Antarctic (King George Island, 62degrees 14' S, 58degrees 40' W). Good reproducibility in replicate analysis of samples confirms the suitability of the method for samples with very low persistent organic pollutant (POP) concentrations. The method was used to analyze three additional blubber samples of Weddell seals from King George Island. This community of Weddell seals showed the lowest DDT (11-19 mug/kg) and PCB (1-2.5 mug/kg) concentrations so far detected in comparable marine mammals from all over the world. The concentrations determined in the four Weddell seals were also typical for the population at King George Island. However, the DDT and PCB concentrations on King George Island were one order of magnitude lower than in samples of the same species from other sites in the Antarctic (located between 69degrees S and 78degrees S). This suggests a wide variability of organohalogen levels in the Antarctic, depending on the geographic site. King George Island (62degrees S) is found at the outskirts of the Antarctic Peninsula, i.e., the region with the mildest climate in the Antarctic. Low organohalogen levels at this site were attributed to a lower degree of condensation in comparison with locations further south. Most of the reference samples were taken in the Weddell and Ross Seas, i.e., from coastlines as close as possible to the pole. Consequently, other sites on the same latitude as the Weddell and Ross Seas are found on the Antarctic continent. This raises the question whether high proportions of organohalogens are being deposited on the Antarctic continent where they are not available to marine organisms. Although this hypothesis has to be proven in follow-up studies, our study clearly demonstrates that it is complicated, if not impossible, to derive time trends in concentrations of POPS in biota from different reference sites in the Antarctic.</t>
  </si>
  <si>
    <t>Univ Hohenheim, Inst Food Chem, D-70599 Stuttgart, Germany; Univ Jena, Dept Food Chem, D-07743 Jena, Germany</t>
  </si>
  <si>
    <t>University Hohenheim; Friedrich Schiller University of Jena</t>
  </si>
  <si>
    <t>Vetter, W (corresponding author), Univ Hohenheim, Inst Food Chem, Garbenstr 28, D-70599 Stuttgart, Germany.</t>
  </si>
  <si>
    <t>MAR 1</t>
  </si>
  <si>
    <t>10.1021/es025949v</t>
  </si>
  <si>
    <t>650HY</t>
  </si>
  <si>
    <t>WOS:000181258600020</t>
  </si>
  <si>
    <t>Stark, JS; Riddle, MJ; Snape, I; Scouller, RC</t>
  </si>
  <si>
    <t>Human impacts in Antartic marine soft-sediment assemblages: correlations between multivariate biological patterns and environmental variables at Casey Station</t>
  </si>
  <si>
    <t>macrobenthos; community; environmental impact studies; Antarctica-coastal ecology; marine pollution; heavy metals; sediments</t>
  </si>
  <si>
    <t>MACROBENTHIC ASSEMBLAGES; COMMUNITY STRUCTURE; BENTHIC INVERTEBRATES; MCMURDO-STATION; HEAVY-METALS; TRACE-METALS; POLLUTION; COPPER; CONTAMINATION; ANTARCTICA</t>
  </si>
  <si>
    <t>Correlations between the spatial distribution of soft-sediment assemblages and environmental variables were evaluated at a number of control and potentially impacted locations (waste dumps, a sewage outfall and a wharf) at Casey Station, East Antarctica. Patterns of assemblage composition were compared with patterns of environmental variables using univariate and multivariate techniques. The utility of these methods, however, is uncertain in areas of significant habitat heterogeneity (at scales &lt; 10 m), such as at Casey Station. A number of environmental variables were measured to determine their potential influence on assemblage structure including sediment heavy metal concentrations, total organic carbon (TOC), grain size and depth. Soft-sediment assemblages clustered strongly into two groups and this pattern was found to be most highly correlated with concentrations of heavy metals of anthropogenic origin: cadmium, copper, lead, tin and zinc. The relationship, however, is complex and is likely to be further influenced by variables affecting the bioavailability of metals such as grain size, TOC and sediment anoxia. Impacted locations were characterised by fewer taxa, lower diversity and lower species richness. One of the control locations was found to have naturally high levels of cadmium, nickel and zinc and had assemblages very similar to those at the potentially impacted, polluted locations. One of the potentially impacted locations had coarse sediments and low levels of heavy metals but had assemblages very similar to other impacted locations. Problems of sampling design for human impacts detection in real world situations are discussed in relation to this study. This study provides evidence that these multivariate statistical methods are useful in heterogeneous environments and across pollution gradients where pollutants have the potential to act as a primary cause of spatial variation in assemblage structure. (C) 2003 Elsevier Science B.V. All rights reserved.</t>
  </si>
  <si>
    <t>Stark, Jonathan/ABF-4025-2020; Ross, Donald J/F-7607-2012</t>
  </si>
  <si>
    <t>Stark, Jonathan/0000-0002-4268-8072;</t>
  </si>
  <si>
    <t>10.1016/S0272-7714(02)00291-3</t>
  </si>
  <si>
    <t>687RL</t>
  </si>
  <si>
    <t>WOS:000183390400027</t>
  </si>
  <si>
    <t>Dickinson, WW; Rosen, MR</t>
  </si>
  <si>
    <t>Antarctic permafrost: An analogue for water and diagenetic minerals on Mars</t>
  </si>
  <si>
    <t>Antarctica; brine; diagenesis; Dry Valleys; ground ice; Mars; permafrost</t>
  </si>
  <si>
    <t>DRY-VALLEYS; TABLE-MOUNTAIN; SIRIUS GROUP; ICE; STABILITY; PLIOCENE; SOIL</t>
  </si>
  <si>
    <t>At high altitudes (&gt;1000 m) throughout the Dry Valleys, Antarctica, liquid water is rare, yet ground ice, which may be millions of years old, is pervasive in glacial sediments and bedrock. The origin of this ice is different from its arctic and alpine counterparts and may be similar to water on Mars. We present chemical and isotopic analyses of Antarctic ground ice from cores of Sirius Group sediments at Table Mountain in the Dry Valleys. These data, together with the presence of diagenetic calcite and chabazite in the frozen sediments, indicate that the ice and minerals accumulated over long periods of time from atmospheric water vapor and brine films formed on the surface of the ground. This analogy indicates that ferric-bearing minerals could precipitate under present conditions in the Martian soil.</t>
  </si>
  <si>
    <t>Univ Victoria, Antarctic Res Ctr, Wellington, New Zealand; Inst Geol &amp; Nucl Sci, Taupo, New Zealand</t>
  </si>
  <si>
    <t>Victoria University Wellington; GNS Science - New Zealand</t>
  </si>
  <si>
    <t>Univ Victoria, Antarctic Res Ctr, POB 600, Wellington, New Zealand.</t>
  </si>
  <si>
    <t>Rosen, Michael R/D-6091-2015</t>
  </si>
  <si>
    <t>Rosen, Michael R/0000-0003-3991-0522</t>
  </si>
  <si>
    <t>10.1130/0091-7613(2003)031&lt;0199:APAAFW&gt;2.0.CO;2</t>
  </si>
  <si>
    <t>649GN</t>
  </si>
  <si>
    <t>WOS:000181199100002</t>
  </si>
  <si>
    <t>Turney, CSM; McGlone, MS; Wilmshurst, JM</t>
  </si>
  <si>
    <t>Asynchronous climate change between New Zealand and the North Atlantic during the last deglaciation</t>
  </si>
  <si>
    <t>late glacial; bipolar seesaw; thermohaline circulation; Younger Dryas; Antarctic cold reversal; Bayesian radiocarbon dating</t>
  </si>
  <si>
    <t>POLLEN RECORD; RADIOCARBON; ISLAND; AGE; CANTERBURY; TRANSITION; VEGETATION; REVERSAL; DEPOSITS</t>
  </si>
  <si>
    <t>Climatic fluctuations recorded in Antarctica and Greenland during the last deglaciation (18-10 ka) differ markedly in their timing. It remains controversial whether local climate fluctuations recorded in southern mid-latitudes relate primarily to northern or southern polar records. We present multiproxy results from New Zealand that show strong evidence for a minor cooling or slowdown in the rate of warming at the time of the North Atlantic late glacial interstadial. The Younger Dryas chronozone in New Zealand was a period of resumed warming and increased westerly airflow. Differences between the hemispheres at this time were probably due to a reorganization of the thermohaline circulation system and associated changes in the meridional temperature gradient.</t>
  </si>
  <si>
    <t>Queens Univ Belfast, Sch Archaeol &amp; Paleoecol, Belfast BT7 1NN, Antrim, North Ireland; Landcare Res, Lincoln 8152, New Zealand</t>
  </si>
  <si>
    <t>Queens University Belfast; Landcare Research - New Zealand</t>
  </si>
  <si>
    <t>Queens Univ Belfast, Sch Archaeol &amp; Paleoecol, Belfast BT7 1NN, Antrim, North Ireland.</t>
  </si>
  <si>
    <t>Wilmshurst, Janet/C-2209-2009; Turney, Chris/P-8701-2018</t>
  </si>
  <si>
    <t>Wilmshurst, Janet/0000-0002-4474-8569; Turney, Chris/0000-0001-6733-0993</t>
  </si>
  <si>
    <t>10.1130/0091-7613(2003)031&lt;0223:ACCBNZ&gt;2.0.CO;2</t>
  </si>
  <si>
    <t>WOS:000181199100008</t>
  </si>
  <si>
    <t>Bae, SH; Yoon, HI; Park, LK; Kim, Y; Bahk, JJ</t>
  </si>
  <si>
    <t>Meltwater discharge anomalies in marine isotope stage 3 from a sediment core in the south of Antarctic Polar Front, Drake Passage</t>
  </si>
  <si>
    <t>meltwater discharge; marine isotope stage (MIS) 3; Antarctic Polar Front; Drake Passage; Antarctica</t>
  </si>
  <si>
    <t>LAST GLACIAL PERIOD; NORTH-ATLANTIC; CIRCUMPOLAR CURRENT; WATER CIRCULATION; INDIAN-OCEAN; DEEP; VARIABILITY; PACIFIC; MARGIN</t>
  </si>
  <si>
    <t>Marine isotope stages (MISs) I to 5 were identified in the planktonic delta(18)O record in sediment core DP00-02 just south of the Antarctic Polar Front within the Drake Passage, Antarctica. The oxygen isotope record based on Neogloboquadrina pachyderma sinistral is well correlated with the contemporaneous global delta(18)O stratigraphy. Marked differences from the global climate curve suggest a local/regional overprint, particularly during the MIS 3, which is considered as a colder time period in the ocean record than the MIS 1 and MIS 5 interglacial periods. The comparison shows that negative 5180 shifts in the core DP00-02 during the MIS 3 are larger than mean global changes that show a shift equal to or smaller than 0.5parts per thousand. The isotope shift, exceeding the glacial-interglacial ice volume effect, probably resulted from changes in the isotope composition of sea water which is linearly related to decreases in salinity rather than increases in sea-surface temperature. Increased ice-rafted debris (IRD) content during this period interval indicates strong influx of IRD from melting ice shelves and iceberg, which may be related to upwelling of warmer Circumpolar Deep Water.</t>
  </si>
  <si>
    <t>Korea Ocean Res &amp; Dev Inst, Polar Sci Lab, Seoul 425600, South Korea; Korea Ocean Res &amp; Dev Inst, Marine Environm &amp; Climate Change Lab, Seoul 425600, South Korea; Korea Ocean Res &amp; Dev Inst, Polar Sci Lab, Seoul 425600, South Korea</t>
  </si>
  <si>
    <t>Korea Institute of Ocean Science &amp; Technology (KIOST); Korea Institute of Ocean Science &amp; Technology (KIOST); Korea Institute of Ocean Science &amp; Technology (KIOST)</t>
  </si>
  <si>
    <t>Bae, SH (corresponding author), Korea Ocean Res &amp; Dev Inst, Polar Sci Lab, POB 29, Seoul 425600, South Korea.</t>
  </si>
  <si>
    <t>shbae@kordi.re.kr</t>
  </si>
  <si>
    <t>GEOLOGICAL SOCIETY KOREA</t>
  </si>
  <si>
    <t>NEW BLD RM 813, KSTC, 835-4, YEOKSAM-DONG, KANGNAM-GU, SEOUL, 135-703, SOUTH KOREA</t>
  </si>
  <si>
    <t>1598-7477</t>
  </si>
  <si>
    <t>10.1007/BF02910267</t>
  </si>
  <si>
    <t>767HE</t>
  </si>
  <si>
    <t>WOS:000188433500009</t>
  </si>
  <si>
    <t>Irwin, A; Hallegraeff, GM; McMinn, A; Harrison, J; Heijnis, H</t>
  </si>
  <si>
    <t>Cyst and radionuclide evidence demonstrate historic Gymnodinium catenatum dinoflagellate populations in Manukau and Hokianga Harbours, New Zealand</t>
  </si>
  <si>
    <t>HARMFUL ALGAE</t>
  </si>
  <si>
    <t>dinoflagellate cysts; sediment depth cores; Gymnodinium catenatum; PSP; New Zealand</t>
  </si>
  <si>
    <t>MICRORETICULATE CYST; INDICATORS; EUTROPHICATION; BLOOMS; DINOPHYCEAE; SEDIMENTS; POLLUTION; CLIMATE; UNIQUE</t>
  </si>
  <si>
    <t>Between May 2000 and February 2001, a major bloom of the toxic dinoflagellate Gymnodinium catenatum (a causative organism of Paralytic Shellfish Poisoning, PSP) affected over 1500 km of coastline of New Zealand's North Island. As this was the first record of this species in New Zealand, we aimed to resolve whether this represented a recent introduction/spreading event or perhaps an indigenous cryptic species stimulated by environmental/climatic change. To answer this question, we analysed for G. catenatum resting cysts in Pb-210 dated sediment cores (18-34 cm long; sedimentation rates 0.34-0.69 cm per year) collected by SCUBA divers from Manukau Harbour, where the species was first detected, and from Hokianga Harbour, where the highest shellfish toxicity was recorded, while using Wellington Harbour as a well-monitored control site. The results of this study conclusively demonstrate that abundant G. catenatum has been in northern New Zealand at least since the early 1980s, increasing up to 1200 cysts/g around the year 2000, but with low cyst concentrations possibly present since at least 1937. In contrast, Wellington Harbour cores contained only very sparse G. catenatum cysts (8 cysts/g), present only to a depth of 7 cm (surface mixed layer depth), reflecting an apparent recent range expansion of this dinoflagellate in New Zealand, possibly stimulated by unusual climatic conditions associated with the 2000 La Nina event. The significant increases since the early 1980s also of Protoperidinium cysts at Hokianga Harbour and of Gonyaulax, Protoperidinium and Protoceratium cysts at Manukau Harbour suggest a broad scale environmental change has occurred in Northland, New Zealand. (C) 2002 Elsevier Science B.V. All rights reserved.</t>
  </si>
  <si>
    <t>Univ Tasmania, Sch Plant Sci, Hobart, Tas 7001, Australia; Univ Tasmania, Inst Antarctic &amp; So Ocean Studies, Hobart, Tas 7001, Australia; Australian Nucl Sci &amp; Technol Org, Menai, NSW 2234, Australia</t>
  </si>
  <si>
    <t>University of Tasmania; University of Tasmania; Australian Nuclear Science &amp; Technology Organisation</t>
  </si>
  <si>
    <t>Univ Tasmania, Sch Plant Sci, GPO Box 252-55, Hobart, Tas 7001, Australia.</t>
  </si>
  <si>
    <t>hallegraeff@utas.edu.au</t>
  </si>
  <si>
    <t>Harrison, Jennifer/GVS-9022-2022; McMinn, Andrew/A-9910-2008; Heijnis, Hendrik/A-6673-2010; Harrison, Jennifer/G-4238-2013; Hallegraeff, Gustaaf/C-8351-2013</t>
  </si>
  <si>
    <t>Heijnis, Hendrik/0000-0002-7601-3452; Harrison, Jennifer/0000-0003-0716-2398; Hallegraeff, Gustaaf/0000-0001-8464-7343</t>
  </si>
  <si>
    <t>1568-9883</t>
  </si>
  <si>
    <t>1878-1470</t>
  </si>
  <si>
    <t>Harmful Algae</t>
  </si>
  <si>
    <t>PII S1568-9883(02)00084-7</t>
  </si>
  <si>
    <t>10.1016/S1568-9883(02)00084-7</t>
  </si>
  <si>
    <t>812UM</t>
  </si>
  <si>
    <t>WOS:000220864400006</t>
  </si>
  <si>
    <t>Rodríguez, E; López-González, PJ</t>
  </si>
  <si>
    <t>Stephanthus antarcticus, a new genus and species of sea anemone (Actiniaria, Haloclavidae) from the South Shetland Islands, Antarctica</t>
  </si>
  <si>
    <t>HELGOLAND MARINE RESEARCH</t>
  </si>
  <si>
    <t>Stephanthus; Haloclavidae; Actiniaria; South Shetland Islands; Antarctica</t>
  </si>
  <si>
    <t>PENINSULA; CNIDARIA</t>
  </si>
  <si>
    <t>Stephanthus antarcticus gen. nov. et sp. nov. is described and illustrated from six specimens collected in the Antarctic Peninsula on the Polarstern cruises ANT XV/3 and ANT XIX/3. The new genus is characterised by the absence of sphincter and basilar musculature, the presence of a single strong siphonoglyph with a basal enlargement, distinct parietobasilar musculature, tentacles without acrospheres, two cycles of six pairs of mesenteries (only one of them perfect), and a deep fosse with parapet; another remarkable feature is the absence of microbasic p-mastigophores. The new genus shows characteristics of three families of soft-bottom-dwelling sea anemones, namely Haloclavidae Verrill, 1899, Halcampoididae Appellof, 1896, and Andresiidae Stephenson, 1922. The generic characters of Stephanthus gen. nov. are discussed and it is tentatively placed in the family Haloclavidae.</t>
  </si>
  <si>
    <t>Lopez-González, Pablo J./Y-6440-2018</t>
  </si>
  <si>
    <t>Lopez-González, Pablo J./0000-0002-7348-6270</t>
  </si>
  <si>
    <t>1438-387X</t>
  </si>
  <si>
    <t>HELGOLAND MAR RES</t>
  </si>
  <si>
    <t>Helgoland Mar. Res.</t>
  </si>
  <si>
    <t>10.1007/s10152-002-0132-0</t>
  </si>
  <si>
    <t>664VT</t>
  </si>
  <si>
    <t>WOS:000182083900008</t>
  </si>
  <si>
    <t>Siegert, MJ; Tranter, M; Ellis-Evans, JC; Priscu, JC; Lyons, WB</t>
  </si>
  <si>
    <t>The hydrochemistry of Lake Vostok and the potential for life in Antarctic subglacial lakes</t>
  </si>
  <si>
    <t>Lake Vostok; hydrochemistry; Antarctic subglacial lakes</t>
  </si>
  <si>
    <t>HAUT-GLACIER-DAROLLA; WATER-VEIN SYSTEM; BACTERIAL-POPULATIONS; METHANE HYDRATE; GROWTH-RATE; ICE-CORE; SP. NOV.; SEA; SEDIMENTS; BENEATH</t>
  </si>
  <si>
    <t>Our understanding of Lake Vostok, the huge subglacial lake beneath the East Antarctic Ice Sheet, has improved recently through the identification of key physical and chemical interactions between the ice sheet and the lake. The north of the lake, where the overlying ice sheet is thickest, is characterized by subglacial melting, whereas freezing of lake water occurs in the south, resulting in similar to210 m of ice accretion to the underside of the ice sheet. The accreted ice contains lower concentrations of the impurities normally found in glacier ice, suggesting a net transfer of material from meltwater into the lake. The small numbers of microbes found so far within the accreted ice have DNA profiles similar to those of contemporary surface microbes. Microbiologists expect, however, that Lake Vostok, and other subglacial lakes, will harbour unique species, particularly within the deeper waters and associated sediments. The extreme environments of subglacial lakes are characterized by high pressures, low temperatures, permanent darkness, limited nutrient availability, and oxygen concentrations that are derived from the ice that provides the meltwater. Copyright (C) 2002 John Wiley Sons, Ltd.</t>
  </si>
  <si>
    <t>Univ Bristol, Sch Geog Sci, Bristol Glaciol Ctr, Bristol BS8 1SS, Avon, England; British Antarctic Survey, Biosci Div, Cambridge CB3 0ET, England; Montana State Univ, Bozeman, MT 59717 USA; Ohio State Univ, Byrd Polar Res Ctr, Columbus, OH 43210 USA</t>
  </si>
  <si>
    <t>University of Bristol; UK Research &amp; Innovation (UKRI); Natural Environment Research Council (NERC); NERC British Antarctic Survey; Montana State University System; Montana State University Bozeman; University System of Ohio; Ohio State University</t>
  </si>
  <si>
    <t>Univ Bristol, Sch Geog Sci, Bristol Glaciol Ctr, Bristol BS8 1SS, Avon, England.</t>
  </si>
  <si>
    <t>m.j.siegert@bris.ac.uk</t>
  </si>
  <si>
    <t>Siegert, Martin J/A-3826-2008; Siegert, Martin/M-9939-2019; Tranter, Martyn/E-3722-2010</t>
  </si>
  <si>
    <t>Siegert, Martin J/0000-0002-0090-4806; Siegert, Martin/0000-0002-0090-4806; Tranter, Martyn/0000-0003-2071-3094</t>
  </si>
  <si>
    <t>10.1002/hyp.1166</t>
  </si>
  <si>
    <t>652MH</t>
  </si>
  <si>
    <t>WOS:000181382600007</t>
  </si>
  <si>
    <t>Storey, BC</t>
  </si>
  <si>
    <t>The coldest march: Scott's fatal Antarctic expedition</t>
  </si>
  <si>
    <t>INTERNATIONAL HISTORY REVIEW</t>
  </si>
  <si>
    <t>Univ Canterbury, Christchurch 1, New Zealand</t>
  </si>
  <si>
    <t>Storey, BC (corresponding author), Univ Canterbury, Christchurch 1, New Zealand.</t>
  </si>
  <si>
    <t>SIMON FRASER UNIV, INT HISTORY REVIEW</t>
  </si>
  <si>
    <t>BURNABY</t>
  </si>
  <si>
    <t>EAA 2015, BURNABY, BC V5A 1S6, CANADA</t>
  </si>
  <si>
    <t>0707-5332</t>
  </si>
  <si>
    <t>INT HIST REV</t>
  </si>
  <si>
    <t>Int. Hist. Rev.</t>
  </si>
  <si>
    <t>History</t>
  </si>
  <si>
    <t>Arts &amp; Humanities Citation Index (A&amp;HCI)</t>
  </si>
  <si>
    <t>652AD</t>
  </si>
  <si>
    <t>WOS:000181355800048</t>
  </si>
  <si>
    <t>Dimitrov, RS</t>
  </si>
  <si>
    <t>Knowledge, power, and interests in environmental regime formation</t>
  </si>
  <si>
    <t>INTERNATIONAL STUDIES QUARTERLY</t>
  </si>
  <si>
    <t>ANTARCTIC OZONE HOLE; STRATOSPHERIC OZONE; CHLORINE; SINK</t>
  </si>
  <si>
    <t>Knowledge-based approaches to the study of international environmental cooperation tend to treat knowledge as a single variable. It is more useful to distinguish between different types of information and to analyze their roles in policy formation separately. Disaggregating knowledge reveals important aspects of the interplay between knowledge, interests, and power which otherwise remain hidden, and helps solve empirical puzzles and theoretical contradictions. Its utility is illustrated in a comparison between two prominent cases of regime-making efforts: deforestation (non-regime) and ozone depletion (regime). The study relies on analysis of multilateral scientific assessments, observation of UN meetings, and interviews with scientists and policymakers. The evidence suggests that reliable information about the cross-border consequences of a problem is of critical importance in regime formation as it facilitates utility calculations and-the formation of interests. By contrast, other types of seemingly relevant scientific knowledge appear to be of far lesser importance. Moreover, contrary to power-over-knowledge theorizing, the state of knowledge cannot be easily explained with reference to political power.</t>
  </si>
  <si>
    <t>Univ Utah, Salt Lake City, UT 84112 USA</t>
  </si>
  <si>
    <t>Utah System of Higher Education; University of Utah</t>
  </si>
  <si>
    <t>Dimitrov, RS (corresponding author), Univ Utah, Salt Lake City, UT 84112 USA.</t>
  </si>
  <si>
    <t>BLACKWELL PUBLISHERS</t>
  </si>
  <si>
    <t>350 MAIN STREET, STE 6, MALDEN, MA 02148 USA</t>
  </si>
  <si>
    <t>0020-8833</t>
  </si>
  <si>
    <t>INT STUD QUART</t>
  </si>
  <si>
    <t>Int. Stud. Q.</t>
  </si>
  <si>
    <t>10.1111/1468-2478.4701006</t>
  </si>
  <si>
    <t>International Relations; Political Science</t>
  </si>
  <si>
    <t>657JF</t>
  </si>
  <si>
    <t>WOS:000181662200006</t>
  </si>
  <si>
    <t>Uesugi, K; Tsuchiyama, A; Yasuda, H; Nakamura, M; Nakano, T; Suzuki, Y; Yagi, N</t>
  </si>
  <si>
    <t>Micro-tomographic imaging for material sciences at BL47XU in SPring-8</t>
  </si>
  <si>
    <t>7th International Conference on X-Ray Microscopy</t>
  </si>
  <si>
    <t>JUL 28-AUG 02, 2002</t>
  </si>
  <si>
    <t>RAY</t>
  </si>
  <si>
    <t>A micro-tomographic system developed at BL47XU in SPring-8 (SP-muCT 47XU) was used to obtain three-dimensional structures of synthetic and natural substances for a test study. Al2O3-YAG eutectic composites, synthetic quartzites (SiO2) and Antarctic micro-meteorites (AMMs) were successfully imaged with the spatial resolution of 1mum three-dimensionally. Three-dimensional elemental distribution was also obtained using X-ray adsorption edge of Fe in the measurement of an AMM.</t>
  </si>
  <si>
    <t>JASRI, SPring 8, Mikazuki, Hyogo 6795198, Japan; Osaka Univ, Grad Sch Sci, Suita, Osaka 565, Japan; Osaka Univ, Grad Sch Engn, Suita, Osaka 565, Japan; Tohoku Univ, Fac Sci, Sendai, Miyagi 980, Japan</t>
  </si>
  <si>
    <t>Japan Synchrotron Radiation Research Institute; Osaka University; Osaka University; Tohoku University</t>
  </si>
  <si>
    <t>Uesugi, K (corresponding author), JASRI, SPring 8, Mikazuki, Hyogo 6795198, Japan.</t>
  </si>
  <si>
    <t>Yasuda, Hideyuki/K-1067-2015</t>
  </si>
  <si>
    <t>Yasuda, Hideyuki/0000-0003-2344-714X</t>
  </si>
  <si>
    <t>10.1051/jp4:200300026</t>
  </si>
  <si>
    <t>685QC</t>
  </si>
  <si>
    <t>WOS:000183273900013</t>
  </si>
  <si>
    <t>Biswas, SK</t>
  </si>
  <si>
    <t>Regional tectonic framework of the Pranhita-Godavari basin, India</t>
  </si>
  <si>
    <t>rift; geoftacture; Gondwana</t>
  </si>
  <si>
    <t>RIFTS; GRAVITY; ZONES</t>
  </si>
  <si>
    <t>The Pranhita-Godavari Gondwana rift (PGR) has a co-genetic relationship with Permo-Triassic reactivation of the Narmada-Son Geoftacture (NSG). The Satpura Gondwana basin represents the terminal depocentre against the NSG, which restricted the northwestward propagation of the PGR. The NE-SW tensional stress responsible for the NW-SE trending PGR could not propagate beyond the ramp formed by uplift along the NSG and transformed kinetically into an ENE directed horizontal shear along the NSG, inducing large scale strike-slip movements. The latter dynamics were responsible for ENE extension of the Satpura rift as a pull-apart basin. The PGR extends up to the present east coast of India, where it is apparently terminated by the NF - SW trending Bapatia ridge along the Eastern Ghat Rift (EGR). The subsurface data, however, shows that the PGR extends across the Bapatla ridge and continues beneath the Cretaceous -Tertiary sediments of the Krishna- Godavari basin (KG) in the EGR. Thus, the Permo-Triassic PGR appears to have continued in the Indo-Antarctic plate before the Cretaceous break up. The EGR, during break up of the continents, cuts across the PGR and the KG basin was superimposed on it. The PGR site is located on a paleo-suture between the Dharwar and Bastar proto-cratons. The master faults developed bordering the rift, and the intra-rift higher order faults followed the pre-existing fabric. The transverse transfer zones manifested as basement ridges, divide the rift into segments of tectono-sedimentary domains. The major domains are the Chintalapudi, Godavari, and Chandrapur sub-basins, each of which subsided differentially. The central Godavari sub-basin subsided most and shows maximum structural complexity and sediment accommodation. The rifting started with initial half-graben faulting along the northeastern master fault and expanded by successive half graben faulting. This gave rise to intra-basinal horsts and grabens, which exercised control on the syn-rift sedimentation. The southeastern boundary fault developed as a strike-slip fault in response to plate rotation and the rift expansion was constrained by it.The basin fill sediments were deposited during two rifting events-Early Permian to (?) Early Jurassic Lower Gondwana rifting, and Early Cretaceous Upper Gondwana rifting. The Lower Gondwana sedimentation started with a pre-rift crustal sagging over the rift site and was filled by glaciogenic Talchir sediments. This was followed by syn-rift-fluvial sedimentation in repeating cycles during the early to late rift stages. Early Cretaceous Chikiala and Gangapur sediments were deposited during the Upper Gondwana rifting. The fluvial cycles were tectonically controlled during each rift stage. The absence of igneous intrusions indicates that the PGR is a passive rift in contrast to the rifts developed in the NSG zone. (C) 2002 Elsevier Science Ltd. All rights reserved.</t>
  </si>
  <si>
    <t>Biswas, SK (corresponding author), 201-C,ISM House,Thakur Village, Bombay 400101, Maharashtra, India.</t>
  </si>
  <si>
    <t>PII S1367-9120(02)00145-1</t>
  </si>
  <si>
    <t>10.1016/S1367-9120(02)00145-1</t>
  </si>
  <si>
    <t>671AM</t>
  </si>
  <si>
    <t>WOS:000182442600004</t>
  </si>
  <si>
    <t>Danilov, AD; Smirnova, NV; Blix, TA; Thrane, EV; Vanina, LB</t>
  </si>
  <si>
    <t>Some features of electron density behaviour in the high latitude D-region derived from in situ measurements</t>
  </si>
  <si>
    <t>electron density; ionosphere; D-region; high latitude; magnetic activity</t>
  </si>
  <si>
    <t>RECOMBINATION; ABSORPTION; PLASMA</t>
  </si>
  <si>
    <t>A large database of rocket measurements of the D-region electron concentration has been studied. The data were obtained at four sites in the Antarctic (Molodezhnaya and Syowa) and Arctic (Heiss Island, and Andoya/Kiruna). The electron densities were analysed in terms of their variations with solar zenith angle, geomagnetic activity and atmospheric temperature. We found that there is a particle ionisation source in the auroral oval even in quiet conditions. The energy of the particles is such, that they penetrate down to 85 km, are partially absorbed between 85 and 80 km but do not penetrate (are completely absorbed) below 75 km. Analysis of the dependence of the electron concentration [e] on the daily sum of Kp indices, E Kp, shows that at all heights considered there is an increase of [e] with E Kp up to some saturation value of E Kp and beyond this level [e] is either constant (with large scatter of the data) or even decreases. This indicates that when the auroral oval expands with increasing geomagnetic activity, a particular station may move from a position outside or at the boundary of the oval, to a position inside the polar cap. An attempt is made to find the temperature dependence of the electron concentration. It is found that [e] at 75 and 80 km increases with temperature T. Analysis of the flights conducted during noctilucent cloud (NLC) events at Andoya/Kiruna reveals a strong dependence of [e] on Sigma Kp at 80 and 85 km. This dependence is stronger and better defined than that for the entire data set. This may be explained by the low mesopause temperatures observed in summer when NLC occur. A comparison of the electron density data sets with empirical and theoretical models is presented and during quiet magnetic conditions a good agreement with mid-latitude models is found. (C) 2003 Published by Elsevier Science Ltd.</t>
  </si>
  <si>
    <t>Norwegian Def Res Estab, NO-2027 Kjeller, Norway; Inst Appl Geophys, Moscow 129128, Russia; Inst Geosphere Dynam, Moscow 117334, Russia; Univ Oslo, Dept Phys, NO-0316 Oslo, Norway</t>
  </si>
  <si>
    <t>Norwegian Defence Research Establishment; Russian Academy of Sciences; Sadovsky Institute of Geosphere Dynamics of the Russian Academy of Sciences; University of Oslo</t>
  </si>
  <si>
    <t>Norwegian Def Res Estab, NO-2027 Kjeller, Norway.</t>
  </si>
  <si>
    <t>Tom-Arild.Blix@ffi.no</t>
  </si>
  <si>
    <t>Danilov, Alexey/ABH-7887-2020</t>
  </si>
  <si>
    <t>Vanina-Dart, Liudmila/0000-0002-7699-027X</t>
  </si>
  <si>
    <t>1879-1824</t>
  </si>
  <si>
    <t>PII S1364-6826(02)00198-0</t>
  </si>
  <si>
    <t>10.1016/S1364-6826(02)00198-0</t>
  </si>
  <si>
    <t>658AJ</t>
  </si>
  <si>
    <t>WOS:000181699200003</t>
  </si>
  <si>
    <t>Riggin, DM; Meyer, CK; Fritts, DC; Jarvis, MJ; Murayama, Y; Singer, W; Vincent, RA; Murphy, DJ</t>
  </si>
  <si>
    <t>MF radar observations of seasonal variability of semidiurnal motions in the mesosphere at high northern and southern latitudes</t>
  </si>
  <si>
    <t>semidiurnal; tide; polar; mesosphere; MF radar; winds</t>
  </si>
  <si>
    <t>LOWER THERMOSPHERE; PLANETARY-WAVES; MIDDLE ATMOSPHERE; MEAN WINDS; TIDAL VARIABILITY; DIURNAL TIDES; NONLINEAR-INTERACTION; 12-HOUR OSCILLATION; SUMMER MESOSPHERE; ARCTIC MESOSPHERE</t>
  </si>
  <si>
    <t>The semidiurnal tide (SDT) is investigated through comparative analysis of horizontal winds measured at Poker Flat (65degreesN, 147degreesW), Andenes (69degreesN, 16degreesE), Davis (69degreesS, 78degreesE), and Rothera (68degreesS, 69degreesW). At the northern hemisphere sites the SDT maximizes around the autumn equinox. Poker Flat and Andenes results from 1999-2001 are used to demonstrate that there is a clear repeatable enhancement in SDT amplitudes around the autumn equinox, and that the maximum is localized in height around 86 km. In the southern hemisphere seasonal dependence of the SDT during 1997-1998 is more complicated, and the autumn enhancement is less pronounced. Many competing mechanisms might contribute to the observed seasonal dependence of the SDT, but this study focuses on the refractive effects of shears in the mean zonal wind and gradients in temperature. The main evidence for a refractive influence is that the seasonal enhancement in the SDT amplitude is accompanied by a dramatic shortening in the wave's vertical scale. This shortening of the vertical scale is consistent with refraction of the SDT energy into the horizontal wind component. Simplified linear tidal theory equations are used to estimate the expected magnitude of the refractive effects using wind and temperature fields observed over Andenes, Norway. The predicted refractive effects are shown to be potentially significant and qualitatively consistent with the observations. In addition to a seasonal dependence, the SDT amplitudes obtained at all the radar sites exhibit a deep amplitude modulation on a time scale characteristic of planetary waves. This sort of modulation has most often been attributed to nonlinear interactions between the tides and planetary waves. We suggest that refraction might instead produce, or at least contribute to, the observed modulation. Although the planetary waves are of weak (&lt; 5 m s(-1)) amplitude, the SDT (particularly the gravest S(2,2) mode) is only marginally propagating at high latitudes. Thus, small perturbations to the background are enough to periodically inhibit propagation of the SDT to higher levels. (C) 2003 Elsevier Science Ltd. All rights reserved.</t>
  </si>
  <si>
    <t>NW Res Associates Inc, Colorado Res Associates Div, Boulder, CO USA; British Antarctic Survey, Cambridge CB3 0ET, England; Commun Res Labs, Tokyo, Japan; Leibniz Inst Atmospher Phys, Kuhlungsborn, Germany; Univ Adelaide, Dept Phys &amp; Math Phys, Adelaide, SA 5001, Australia; Australian Antarctic Div, Kingston, Tas, Australia</t>
  </si>
  <si>
    <t>NorthWest Research Associates; UK Research &amp; Innovation (UKRI); Natural Environment Research Council (NERC); NERC British Antarctic Survey; National Institute of Information &amp; Communications Technology (NICT) - Japan; Leibniz Institut fur Atmospharenphysik e.V. an der Universitat Rostock (IAP); University of Adelaide; Australian Antarctic Division</t>
  </si>
  <si>
    <t>Riggin, DM (corresponding author), NW Res Associates Inc, Colorado Res Associates Div, Boulder, CO USA.</t>
  </si>
  <si>
    <t>riggin@colorado-research.com</t>
  </si>
  <si>
    <t>Murayama, Yasuhiro/ABF-1698-2020; Vincent, Robert A/E-5450-2013</t>
  </si>
  <si>
    <t>Murayama, Yasuhiro/0000-0003-1129-334X; Vincent, Robert A/0000-0001-6559-6544</t>
  </si>
  <si>
    <t>10.1016/S1364-6826(02)00340-1</t>
  </si>
  <si>
    <t>WOS:000181699200008</t>
  </si>
  <si>
    <t>Separating extratropical zonal wind variability and mean change</t>
  </si>
  <si>
    <t>GENERAL-CIRCULATION MODEL; PLANETARY-WAVES; GREENHOUSE-GAS; ANNULAR MODES; CLIMATE; TROPOSPHERE; SIMULATION</t>
  </si>
  <si>
    <t>Changes in the naturally occurring modes of extratropical annual mean and zonal mean zonal wind variability are investigated using National Centers for Environmental Prediction-National Center for Atmospheric Research (NCEP-NCAR) reanalyses and Canadian Centre for Climate Modelling and Analysis (CCCma) global climate model simulations. In the Northern Hemisphere, the first and second modes are primarily stratospheric and tropospheric in character, respectively. The surface pressure manifestations of these modes are intimately linked to the Arctic Oscillation (AO), and together suggest separate stratospheric and tropospheric origins for the AO. In the Southern Hemisphere, the first mode describes north-south shifts in the polar front jet accompanied by polar stratospheric jet fluctuations and Antarctic Oscillation (AAO)-like surface pressure anomalies. The second mode is primarily tropospheric and describes interannual changes in the strength and position of the polar front jet. The leading observed modes appear unchanged in strength since the 1950s except in the Northern Hemisphere where the second mode shows some evidence of increasing strength. The leading simulated modes appear unchanged in strength since the beginning of the twentieth century, and are predicted to remain so to the end of the twenty-first century. In all cases the leading modes are superimposed upon significant mean change, which when not properly accounted for can lead to erroneous conclusions.</t>
  </si>
  <si>
    <t>Univ Victoria, Canadian Ctr Climate Modelling &amp; Anal, Meteorol Serv Canada, Victoria, BC V8W 2Y2, Canada</t>
  </si>
  <si>
    <t>University of Victoria; Environment &amp; Climate Change Canada; Canadian Centre for Climate Modelling &amp; Analysis (CCCma); Meteorological Service of Canada</t>
  </si>
  <si>
    <t>Univ Victoria, Canadian Ctr Climate Modelling &amp; Anal, Meteorol Serv Canada, POB 1700, Victoria, BC V8W 2Y2, Canada.</t>
  </si>
  <si>
    <t>John.Fyfe@ec.gc.ca</t>
  </si>
  <si>
    <t>10.1175/1520-0442(2003)016&lt;0863:SEZWVA&gt;2.0.CO;2</t>
  </si>
  <si>
    <t>645FJ</t>
  </si>
  <si>
    <t>WOS:000180965300006</t>
  </si>
  <si>
    <t>Hickey, AJR; Clements, KD</t>
  </si>
  <si>
    <t>Key metabolic enzymes and muscle structure in triplefin fishes (Tripterygiidae): a phylogenetic comparison</t>
  </si>
  <si>
    <t>muscle; metabolism; paedomorphy; buffering capacity; triplefin</t>
  </si>
  <si>
    <t>INDEPENDENT CONTRASTS; PROTEIN-CONCENTRATION; CONFIDENCE-INTERVALS; GLYCOLYTIC-ENZYMES; VERTEBRATE MUSCLE; ENERGY-METABOLISM; SCORPAENID FISHES; ANTARCTIC FISHES; EVOLUTION; SEBASTOLOBUS</t>
  </si>
  <si>
    <t>Metabolic potential and muscle development were investigated relative to habitat and phylogeny in seven species of New Zealand triplefin fishes. Activity was measured in three principal glycolytic enzymes (lactate dehydrogenase, pyruvate kinase and phosphofructokinase) and two oxidative enzymes (citrate synthase and L3-hydroxyacyl CoA:NAD(+) oxidoreductase). The non-bicarbonate buffering capacity of caudal muscle was also estimated. Phylogenetic independent contrast analyses were used to reduce the effects of phylogenetic history in analyses. A positive relationship between metabolic potential and the effective water velocity at respective habitat depths was found only after the exclusion from analyses of the semi-pelagic species Obliquichthys maryannae. O. maryannae showed high glycolytic enzyme activities, and displayed double the activity of both oxidative enzymes relative to the six benthic species. Histochemically stained sections taken immediately posterior to the vent showed that adult O. maryannae and larval Forsterygion lapillum had significantly more red muscle, and smaller cross-sectional areas of white and red muscle fibres, than adults of benthic species. The distribution of red muscle in adult O. maryannae resembled that of larval F. lapillum, and differed from the typical teleost pattern seen in adults of the six benthic species. Both adult O. maryannae and larval F. lapillum have an expansive lateralis superficialis muscle, typical of larval fish, which encompasses much of the caudal trunk. Results suggest that anaerobic potential in New Zealand triplefins: (a) increases with the locomotory requirements of different habitats, and (b) displays a negative relationship with depth-dependent water velocities in benthic species. O. maryannae appears to have increased aerobic potential for sustained swimming by paedomorphic retention of larval muscle architecture.</t>
  </si>
  <si>
    <t>Univ Auckland, Sch Biol Sci, Auckland 1, New Zealand</t>
  </si>
  <si>
    <t>University of Auckland</t>
  </si>
  <si>
    <t>Hickey, AJR (corresponding author), Univ Auckland, Sch Biol Sci, Private Bag 92019, Auckland 1, New Zealand.</t>
  </si>
  <si>
    <t>Clements, Kendall/0000-0001-8512-5977</t>
  </si>
  <si>
    <t>10.1007/s00360-002-0313-9</t>
  </si>
  <si>
    <t>666LF</t>
  </si>
  <si>
    <t>WOS:000182178200002</t>
  </si>
  <si>
    <t>Brodeur, JC; Calvo, J; Clarke, A; Johnston, IA</t>
  </si>
  <si>
    <t>Myogenic cell cycle duration in Harpagifer species with sub-Antarctic and Antarctic distributions:: evidence for cold compensation</t>
  </si>
  <si>
    <t>cell cycle; S-phase; Harpagifer bispinis; Harpagifer antarcticus; myogenic progenitor cell; cold compensation; Antarctic; temperature; notothenioid fish; satellite cell</t>
  </si>
  <si>
    <t>NOTOTHENIA CORIICEPS RICHARDSON; MUSCLE POWER OUTPUT; SKELETAL-MUSCLE; SATELLITE CELL; TELEOST FISH; GROWTH; ADAPTATION; EVOLUTION; FIBERS; TEMPERATURE</t>
  </si>
  <si>
    <t>In teleosts, the proliferation of myogenic progenitor cells is required for muscle growth and nuclear turnover. We measured the cell cycle and S-phase duration of myogenic cells in the fast myotomal muscle of two closely related Harpagifer species by cumulative S-phase labelling with 5-bromo-2'-deoxyuridine (BrdU). Harpagifer antarcticus is a stenothermal species from the Antarctic peninsula (experiencing temperatures of -2degreesC to +1degreesC) and Harpagifer bispinis is a eurythermal species from the Beagle Channel, Tierra del Fuego (living at +4degreesC in winter and up to 11degreesC in summer). Specific growth rates in the adult stages studied were not significantly different from zero. Myogenic progenitor cells were identified using an antibody against c-met. Seventy-five percent of the c-met(+ve) cells were in a proliferative state in both species. Cell cycle time was 150h at 5degreesC and 81.3h at 10degreesC in H. bispinis (Q(10)=3.4). Cell cycle duration was 35% shorter in H. antarcticus at 0degreesC (111h) than in H. bispinis at 5degreesC. The predicted cell cycle time for H. bispinis at 0degreesC (based on the Q(10) relationship) was 277h, which was more than double that measured for the Antarctic species at this temperature. The results obtained are compatible with an evolutionary adjustment of cell cycle time for function at low temperature in the Antarctic species.</t>
  </si>
  <si>
    <t>Consejo Nacl Invest Cient &amp; Tecn, Consejo Nacl Invest Cientif &amp; Tecnicas, Ctr Invest Cientificas, RA-9410 Tierra Fuego, Argentina; British Antarctic Survey, Cambridge CB3 0ET, England; Univ St Andrews, Div Environm &amp; Evolutionary Biol, Sch Biol, Gatty Marine Lab, St Andrews KY16 8LB, Fife, Scotland</t>
  </si>
  <si>
    <t>Consejo Nacional de Investigaciones Cientificas y Tecnicas (CONICET); UK Research &amp; Innovation (UKRI); Natural Environment Research Council (NERC); NERC British Antarctic Survey; University of St Andrews</t>
  </si>
  <si>
    <t>Brodeur, JC (corresponding author), Dow Chem Co USA, Toxicol &amp; Environm Res &amp; Consulting Lab, 1803N Bldg, Midland, MI 48674 USA.</t>
  </si>
  <si>
    <t>jcbrodeur@dow.com</t>
  </si>
  <si>
    <t>Brodeur, Julie Céline/I-6576-2019; Johnston, Ian A/D-6592-2013; Johnston, Ian A./AAE-2044-2019</t>
  </si>
  <si>
    <t>Brodeur, Julie Céline/0000-0001-5408-6645;</t>
  </si>
  <si>
    <t>10.1242/jeb.00204</t>
  </si>
  <si>
    <t>659YA</t>
  </si>
  <si>
    <t>WOS:000181805500008</t>
  </si>
  <si>
    <t>Worland, MR; Block, W</t>
  </si>
  <si>
    <t>Desiccation stress at sub-zero temperatures in polar terrestrial arthropods</t>
  </si>
  <si>
    <t>JOURNAL OF INSECT PHYSIOLOGY</t>
  </si>
  <si>
    <t>arthropods; cold tolerance; cryoprotectants; desiccation resistance; evolution; freeze avoidance; freeze tolerance; polar; supercooling point; water content</t>
  </si>
  <si>
    <t>ANTARCTIC SOUTH GEORGIA; ONYCHIURUS-ARCTICUS TULLBERG; COLD TOLERANCE; SUBZERO TEMPERATURES; WATER-CONTENT; ALASKOZETES-ANTARCTICUS; SURVIVAL; BEETLES; ADAPTATIONS; INSECTS</t>
  </si>
  <si>
    <t>Cold tolerant polar terrestrial arthropods have evolved a range of survival strategies which enable them to survive the most extreme environmental conditions (cold and drought) they are likely to encounter. Some species are classified as being freeze tolerant but the majority of those found in the Antarctic survive sub-zero temperatures by avoiding freezing by supercooling. For many arthropods, not just polar species, survival of desiccating conditions is equally important to survival of low temperatures. At sub-zero temperatures freeze avoiding arthropods are susceptible to desiccation and may lose water due to a vapour diffusion gradient between their supercooled body fluids and ice in their surroundings. This process ceases once the body fluids are frozen and so is not a problem for freeze tolerant species. This paper compares five polar arthropods, which have evolved different low temperature survival strategies, and the effects of exposure to sub-zero temperatures on their supercooling points (SCP) and water contents. The Antarctic oribatid mite (Alaskozetes antarcticus) reduced its supercooling point temperature from -6 to -30 degreesC, when exposed to decreasing sub-zero temperatures (cooled from 5 to -10 degreesC over 42 days) with little loss of body water during that period. However, Cryptopygus antarcticus, a springtail which occupies similar habitats in the Antarctic, showed a decrease in both water content and supercooling ability when exposed to the same experimental protocol. Both these Antarctic arthropods have evolved a freeze avoiding survival strategy. The Arctic springtail (Onychiurus arcticus), which is also freeze avoiding, dehydrated (from 2.4 to 0.7 g water g(-1) dry weight) at sub-zero temperatures and its SCP was lowered from c. -3 to below - 15 degreesC in direct response to temperature (5 to -5.5 degreesC). In contrast, the freeze tolerant larvae of an Arctic fly (Heleomyza borealis) froze at c. -7 degreesC with little change in water content or SCP during further cold exposure and survived frozen to -60 degreesC. The partially freeze tolerant sub-Antarctic beetle Hydromedion sparsutum froze at c. -2 degreesC and is known to survive frozen to -8 degreesC. During the subzero temperature treatment, its water content reduced until it froze and then remained constant. The survival strategies of such freeze tolerant and freeze avoiding arthropods are discussed in relation to desiccation at sub-zero temperatures and the evolution of strategies of cold tolerance. (C) 2003 Elsevier Science Ltd. All rights reserved.</t>
  </si>
  <si>
    <t>Worland, MR (corresponding author), British Antarctic Survey, NERC, High Cross,Madingley Rd, Cambridge CB3 0ET, England.</t>
  </si>
  <si>
    <t>0022-1910</t>
  </si>
  <si>
    <t>J INSECT PHYSIOL</t>
  </si>
  <si>
    <t>J. Insect Physiol.</t>
  </si>
  <si>
    <t>10.1016/S0022-1910(02)00264-0</t>
  </si>
  <si>
    <t>Entomology; Physiology; Zoology</t>
  </si>
  <si>
    <t>665XR</t>
  </si>
  <si>
    <t>WOS:000182147000002</t>
  </si>
  <si>
    <t>Eastman, JT; Lannoo, MJ</t>
  </si>
  <si>
    <t>Anatomy and histology of the brain and sense organs of the antarctic plunderfish Dolloidraco longedorsalis (Perciformes: Notothenioidei: Artedidraconidae), with comments on the brain morphology of other artedidraconids and closely related harpagiferids</t>
  </si>
  <si>
    <t>JOURNAL OF MORPHOLOGY</t>
  </si>
  <si>
    <t>brain morphology and histology; sense organ histology; mental barbel; subependymal expansions</t>
  </si>
  <si>
    <t>LATERAL-LINE; SPINAL-CORD; PAGOTHENIA-BORCHGREVINKI; SEBASTISCUS-MARMORATUS; OCULAR MORPHOLOGY; WEDDELL SEA; FISH FAUNA; ROSS SEA; EVOLUTION; TELEOST</t>
  </si>
  <si>
    <t>In the high-latitude shelf waters of Antarctica, fishes in the perciform suborder Notothenioidei dominate the fish fauna and constitute an adaptive radiation and a species flock. The 25 species of notothenioid plunderfishes, comprising four genera of the family Artedidraconidae, contribute substantially to fish species diversity on the high Antarctic shelf. A mental barbel is an autapomorphy for the family. Dolloidraco longedorsalis is the most abundant artedidraconid at depths over 400 in in these waters. In this article we present the anatomy and histology of the brain and special sense organs of Dolloidraco and compare it to the brains of other artedidraconids, closely related harpagiferids, and more generally to other notothenioids. We provide a detailed drawing of the brain and cranial nerves. The brain of Dolloidraco is simple, without external hypertrophy of sensory or motor regions, but contains several unusual features associated with the ventricular system and CSF, including well-developed circumventricular organs, subependymal expansions, and subarachnoid cisterns; and a ventricle in the corpus cerebellum. The brain of Dolloidraco also contains a lobed chief sensory nucleus of the trigeminal nerve that is correlated across species with barbel length. The eyes are large and contain a small choroid rete, a structure previously thought to be absent from members of this family. We document the histology of the duplex retina, olfactory apparatus, cutaneous taste buds, and barbel musculature and innervation. We discuss the role of pedomorphy in producing simplified brain morphologies. We consider the possibility that Dolloidraco is a somatosensory specialist-an unusual feature among vertebrates-and decide that this is unlikely. J. Morphol. 255:358-377, 2003. (C) 2003 Wiley-Liss, Inc.</t>
  </si>
  <si>
    <t>Ohio Univ, Coll Osteopath Med, Dept Biomed Sci, Athens, OH 45701 USA; Ball State Univ, Indiana Univ, Sch Med, Muncie Ctr Med Educ, Muncie, IN 47306 USA</t>
  </si>
  <si>
    <t>University System of Ohio; Ohio University; Indiana University Health; IU Health Ball Memorial Hospital; Ball State University</t>
  </si>
  <si>
    <t>Eastman, JT (corresponding author), Ohio Univ, Coll Osteopath Med, Dept Biomed Sci, Athens, OH 45701 USA.</t>
  </si>
  <si>
    <t>eastman@ohiou.edu</t>
  </si>
  <si>
    <t>Eastman, Joseph T./O-6150-2019; Eastman, Joseph T/A-9786-2008</t>
  </si>
  <si>
    <t>Eastman, Joseph T./0000-0003-3868-261X;</t>
  </si>
  <si>
    <t>NINDS NIH HHS [NS37600-01] Funding Source: Medline</t>
  </si>
  <si>
    <t>NINDS NIH HHS(United States Department of Health &amp; Human ServicesNational Institutes of Health (NIH) - USANIH National Institute of Neurological Disorders &amp; Stroke (NINDS))</t>
  </si>
  <si>
    <t>0362-2525</t>
  </si>
  <si>
    <t>1097-4687</t>
  </si>
  <si>
    <t>J MORPHOL</t>
  </si>
  <si>
    <t>J. Morphol.</t>
  </si>
  <si>
    <t>10.1002/jmor.10068</t>
  </si>
  <si>
    <t>Anatomy &amp; Morphology</t>
  </si>
  <si>
    <t>644XA</t>
  </si>
  <si>
    <t>WOS:000180944700008</t>
  </si>
  <si>
    <t>Wang, WH; Li, FM; Park, Y; Hong, JK; Lee, CO; Kong, JY; Shin, S; Im, KS; Jung, JH</t>
  </si>
  <si>
    <t>Bioactive sterols from the starfish Certonardoa semiregularis</t>
  </si>
  <si>
    <t>STEROIDAL GLYCOSIDE SULFATES; ANTARCTIC STARFISH; SAPONINS; POLYHYDROXYSTEROIDS; DINOSTEROL; OLIGOGLYCOSIDES</t>
  </si>
  <si>
    <t>Thirteen new polyhydroxysterols (1-5, 7-12, 14, 15) and two known polyhydroxysterols (6, 13) were isolated from the brine shrimp active fraction of the starfish Certonardoa semiregularis. The structures were determined on the basis of spectral analysis and chemical derivatization. These compounds displayed considerable cytotoxicity against a small panel of human solid tumor cell lines. These compounds were also evaluated for antibacterial activity against 20 clinically isolated strains. Most of the compounds showed weak antibacterial activity against Streptococcus pyogenes 308A, Pseudomonas aeruginosa 177 1, and Pseudomonas aeruginosa 1771M.</t>
  </si>
  <si>
    <t>Pusan Natl Univ, Coll Pharm, Pusan 609735, South Korea; Shenyang Pharmaceut Univ, Shenyang, Peoples R China; Inst for Basic Sci Korea, Seoul, South Korea; Korea Res Inst Chem Technol, Pharmaceut Screening Ctr, Taejon 305606, South Korea; Sahmyook Univ, Seoul, South Korea</t>
  </si>
  <si>
    <t>Pusan National University; Shenyang Pharmaceutical University; Institute for Basic Science - Korea (IBS); Korea Research Institute of Chemical Technology (KRICT); Sahmyook University</t>
  </si>
  <si>
    <t>Pusan Natl Univ, Coll Pharm, Pusan 609735, South Korea.</t>
  </si>
  <si>
    <t>jhjung@pusan.ac.kr</t>
  </si>
  <si>
    <t>Wang, Dengkui/AFH-7329-2022</t>
  </si>
  <si>
    <t>10.1021/np020507i</t>
  </si>
  <si>
    <t>662AL</t>
  </si>
  <si>
    <t>WOS:000181923100012</t>
  </si>
  <si>
    <t>Lavrenov, IV</t>
  </si>
  <si>
    <t>A numerical study of a nonstationary solution of the Hasselmann equation</t>
  </si>
  <si>
    <t>LINEAR ENERGY-TRANSFER; GRAVITY-WAVE SPECTRUM; WEAK TURBULENCE THEORY; KINETIC-EQUATION; NONLINEAR TRANSFER; SURFACE</t>
  </si>
  <si>
    <t>The Hasselmann kinetic equation describing nonlinear spectrum evolution of gravity surface waves is investigated for their large periods of time. To solve the problem, the most optimal numerical algorithm of the nonlinear energy transfer computation is used. The nonlinear spectrum evolution is described by various features. The numerical results reveal some general details common for all cases of the spectrum evolution. There are two main domains in the spectrum: a sharply defined peak and a slowly decreasing high-frequency tail. Using the numerical results, an intermediate self-similar frequency spectrum asymptotic approximation is proposed. It is confirmed by field observations of swell spectrum propagating at large distances. This approximation describes the main features of the nonlinear spectrum evolution and provides a preservation of the total energy and wave action.</t>
  </si>
  <si>
    <t>State Res Ctr Russian Federat, Arctic &amp; Antarctic Res Inst, St Petersburg 199397, Russia</t>
  </si>
  <si>
    <t>State Res Ctr Russian Federat, Arctic &amp; Antarctic Res Inst, Bering 38, St Petersburg 199397, Russia.</t>
  </si>
  <si>
    <t>lavren@aari.nw.ru</t>
  </si>
  <si>
    <t>10.1175/1520-0485(2003)033&lt;0499:ANSOAN&gt;2.0.CO;2</t>
  </si>
  <si>
    <t>647KX</t>
  </si>
  <si>
    <t>WOS:000181092900002</t>
  </si>
  <si>
    <t>Talley, LD</t>
  </si>
  <si>
    <t>Shallow, intermediate, and deep overturning components of the global heat budget</t>
  </si>
  <si>
    <t>TOTAL GEOSTROPHIC CIRCULATION; LARGE-SCALE CIRCULATION; NORTH-ATLANTIC OCEAN; FLOW PATTERNS; WIND STRESS; WORLD OCEAN; TRANSPORT; THROUGHFLOW; FLUX; WATER</t>
  </si>
  <si>
    <t>The ocean's overturning circulation and associated heat transport are divided into contributions based on water mass ventilation from 1) shallow overturning within the wind-driven subtropical gyres to the base of the thermocline, 2) overturning into the intermediate depth layer (500-2000 m) in the North Atlantic and North Pacific, and 3) overturning into the deep layers in the North Atlantic (Nordic Seas overflows) and around Antarctica. The contribution to South Pacific and Indian heat transport from the Indonesian Throughflow is separated from that of the subtropical gyres and is small. A shallow overturning heat transport of 0.6 PW dominates the 0.8-PW total heat transport at 24degreesN in the North Pacific but carries only 0.1-0.4 PW of the 1.3-PW total in the North Atlantic at 24degreesN. Shallow overturning heat transports in the Southern Hemisphere are also poleward: -0.2 to -0.3 PW southward across 30degreesS in each of the Pacific and Indian Oceans but only -0.1 PW in the South Atlantic. Intermediate water formation of 2 and 7 Sv (1 Sv = 10(6) m(3) s(-1)) carries 0.1 and 0.4 PW in the North Pacific and Atlantic, respectively, while North Atlantic Deep Water formation of 19 Sv carries 0.6 PW. Because of the small temperature differences between Northern Hemisphere deep waters that feed the colder Antarctic Bottom Water (Lower Circumpolar Deep Water), the formation of 22 Sv of dense Antarctic waters is associated with a heat transport of only -0.14 PW across 30degreesS (all oceans combined). Upwelling of Circumpolar Deep Water north of 30degreesS in the Indian (14 Sv) and South Pacific (14 Sv) carries -0.2 PW in each ocean.</t>
  </si>
  <si>
    <t>Univ Calif San Diego, Scripps Inst Oceanog, 9500 Gilman Dr, La Jolla, CA 92093 USA.</t>
  </si>
  <si>
    <t>ltalley@ucsd.edu</t>
  </si>
  <si>
    <t>10.1175/1520-0485(2003)033&lt;0530:SIADOC&gt;2.0.CO;2</t>
  </si>
  <si>
    <t>WOS:000181092900004</t>
  </si>
  <si>
    <t>Raymond, B; Cayton, RM; Chappell, MJ</t>
  </si>
  <si>
    <t>Combined index of heart rate variability and oximetry in screening for the sleep apnoea/hypopnoea syndrome</t>
  </si>
  <si>
    <t>JOURNAL OF SLEEP RESEARCH</t>
  </si>
  <si>
    <t>obstructive sleep apnoea; screening; heart rate variability; oximetry</t>
  </si>
  <si>
    <t>APNEA SYNDROME; AROUSAL; DIAGNOSIS; HYPOPNEA; TIME; MARKERS</t>
  </si>
  <si>
    <t>Many sleep centres employ a preliminary screening test in order to reduce the number of polysomnographies required in the routine diagnosis of the sleep apnoea/hypopnoea syndrome (SAHS). We investigated the combination of heart rate and oximetry information as a means of performing this test. A retrospective study of 100 patients with suspected SAHS was made. All patients had in-hospital polysomnography on one night. We estimated the number of respiratory event-related arousals by counting the number of autonomic arousals (assessed on the basis of changes in the heart interbeat interval) that were coincident with a rise in oximetry. The hourly index of such events was denoted the 'cardiac-oximetry disturbance index' (CODI). The median apnoea/hypopnoea index (AHI) was 16.5 (range 1.0-93.6) h(-1) . The CODI correlated significantly with the AHI (Spearman correlation coefficient r (s) = 0.88, P &lt; 0.01), and the area (+/- standard error) under the receiver operating characteristic (ROC) was 0.94 +/- 0.05. Oximetry alone (based on 4% dips) was a less effective screening test (r (s) = 0.80, P &lt; 0.01; area under ROC 0.83 +/- 0.06). Using 2% dips in oximetry offered comparable performance with the CODI (r (s) = 0.91, P &lt; 0.01; area under ROC 0.93 +/- 0.04). The CODI was better correlated with the electroencephalograph arousal index (r (s) = 0.84, P &lt; 0.01) than was oximetry (2% dips, r (s) = 0.57, P &lt; 0.01). The CODI algorithm also offers an informal measure of self-validation: a large discrepancy between the number of autonomic arousals and the number of rises in oximetry indicates the presence of autonomic arousals without changes in oximetry (or vice versa). This self-validation mechanism identified several patients in this study, and may be useful in identifying sleep disruption due to chronic pain or other causes.</t>
  </si>
  <si>
    <t>Birmingham Heartlands Hosp, Dept Resp Physiol, Birmingham B9 5ST, W Midlands, England; Univ Warwick, Sch Engn, Coventry CV4 7AL, W Midlands, England</t>
  </si>
  <si>
    <t>University of Birmingham; Heart of England NHS Foundation Trust; University of Warwick</t>
  </si>
  <si>
    <t>ben.raymond@aad.gov.au</t>
  </si>
  <si>
    <t>0962-1105</t>
  </si>
  <si>
    <t>1365-2869</t>
  </si>
  <si>
    <t>J SLEEP RES</t>
  </si>
  <si>
    <t>J. Sleep Res.</t>
  </si>
  <si>
    <t>10.1046/j.1365-2869.2003.00330.x</t>
  </si>
  <si>
    <t>Clinical Neurology; Neurosciences</t>
  </si>
  <si>
    <t>Neurosciences &amp; Neurology</t>
  </si>
  <si>
    <t>647RX</t>
  </si>
  <si>
    <t>WOS:000181108800007</t>
  </si>
  <si>
    <t>Zheng, X; Kamenov, B; Sang, H; Monchev, P</t>
  </si>
  <si>
    <t>New radiometric dating of the dykes from the Hurd Peninsula, Livingston Island, South Shetland Islands</t>
  </si>
  <si>
    <t>K-Ar and 40Ar/39Ar dating; dykes; Livingston Island; Antarctica</t>
  </si>
  <si>
    <t>ANTARCTIC PENINSULA; MAGMATISM; AGE</t>
  </si>
  <si>
    <t>Fifteen new K-Ar ages in the range of 79-31 Ma are partially confirmed by three 40Ar/39Ar plateaus and isochron data of 64.9 +/- 0.4, 55.5 +/- 0.1 and 52.8 +/- 0.6 Ma. The new geochronological data reveal a much more detailed picture of the subduction imprint in the Hurd Peninsula. Using cutting relationships, the dyke emplacement history is divided into four episodes. The Late Cretaceous-Paleocene dykes in the range of 80-60 Ma are related to the main magmatism in Livingston Island and most likely reflect the final stages of subduction of the proto-Pacific oceanic crust. The Early Eocene dykes (56-52 Ma) fill the gap in volcanic activity 70-50 Ma ago. They are the only magmatic event manifested at this time in the region. The 45-42 Ma dykes may be related to the intrusion of the Barnard Point tonalite. Three samples of Oligocene age appear to represent the last igneous activities on the Hurd Peninsula prior to the opening of the Bransfield Strait. (C) 2002 Elsevier Science Ltd. All rights reserved.</t>
  </si>
  <si>
    <t>Chinese Acad Sci, Inst Geol &amp; Geophys, LTE, Beijing 100029, Peoples R China; Sofia Univ St Kliment Ohridski, Dept Geol &amp; Geog, Sofia 1000, Bulgaria; Geol &amp; Geophys Co, Geochronol Lab, Sofia 1797, Bulgaria</t>
  </si>
  <si>
    <t>Chinese Academy of Sciences; Institute of Geology &amp; Geophysics, CAS; University of Sofia; Bulgarian Academy of Sciences</t>
  </si>
  <si>
    <t>Zheng, X (corresponding author), Chinese Acad Sci, Inst Geol &amp; Geophys, LTE, POB 9825, Beijing 100029, Peoples R China.</t>
  </si>
  <si>
    <t>zhengxs@public.bta.net.cn</t>
  </si>
  <si>
    <t>1873-0647</t>
  </si>
  <si>
    <t>PII S0895-9811(02)00146-3</t>
  </si>
  <si>
    <t>10.1016/S0895-9811(02)00146-3</t>
  </si>
  <si>
    <t>682PL</t>
  </si>
  <si>
    <t>WOS:000183100700008</t>
  </si>
  <si>
    <t>Diversity, distribution, and evolutionary history of the Austral, Late Cretaceous to Eocene, Gastropod Struthioptera (Stromboidea: Aporrhaidae)</t>
  </si>
  <si>
    <t>JOURNAL OF THE ROYAL SOCIETY OF NEW ZEALAND</t>
  </si>
  <si>
    <t>Gastropoda; Mollusca; Aporrhaidae; new species; fossil; Cretaceous; Paleocene; Eocene; Southern Hemisphere</t>
  </si>
  <si>
    <t>PALEOBIOGEOGRAPHIC SIGNIFICANCE; CHATHAM ISLANDS; NEW-ZEALAND; PACIFIC</t>
  </si>
  <si>
    <t>The prominently alate and sculptured marine gastropod, Struthioptera (Caenogastropoda: Stromboidea: Aporrhaidae) appeared in the New Zealand region at the latest during the early Cenomanian (early Late Cretaceous). Struthioptera campiveta n. sp., from the Marlborough region, is the first member and likely progenitor of the group, but no potential ancestor to Struthioptera has been recovered from Lower Cretaceous rocks. Concomitantly with the final separation of the Gondwana fragments in the latest Cretaceous, species-level diversity of Struthioptera climbed and the group diverged into at least four coeval species by this time: S. haastiana in the New Zealand region; S. novoseelandica in both New Zealand and Chatham Islands; S. pastorei in southern Argentina, Patagonia; and S. smiti in the Antarctic Peninsula region. Struthioptera? protuberatus from the Late Cretaceous of Patagonia may also belong here. The Cretaceous-Tertiary (K-T) boundary extinction crisis reduced the genus to a single representative, S. osiris, in the early Danian (late Early Paleocene) in New Zealand, and its probable descendant, S. camachoi, from the Middle-Late Eocene of Antarctic Peninsula. Shell size in Struthioptera increased markedly over the K-T boundary and the group became extinct in the Late Eocene, probably as a result of marked temperature changes near the Eocene/Oligocene boundary. Presented here is the first detailed review of Struthioptera since the first specimen was collected at Wangaloa, South Island, New Zealand, in late 1868 or early 1869. Species of Struthioptera are inferred to have been epifaunal and/or semi-infaunal deposit feeders and rather gregarious marine snails in sandy facies along the shallow shelf.</t>
  </si>
  <si>
    <t>James Cook Univ N Queensland, Sch Earth Sci, Townsville, Qld 4811, Australia; Monash Univ, Sch Geosci, Melbourne, Vic 3800, Australia; Australian Museum, Ctr Evolut Res, Sydney, NSW 2000, Australia</t>
  </si>
  <si>
    <t>0303-6758</t>
  </si>
  <si>
    <t>1175-8899</t>
  </si>
  <si>
    <t>J ROY SOC NEW ZEAL</t>
  </si>
  <si>
    <t>J. R. Soc. N.Z.</t>
  </si>
  <si>
    <t>10.1080/03014223.2003.9517733</t>
  </si>
  <si>
    <t>686GM</t>
  </si>
  <si>
    <t>WOS:000183313100016</t>
  </si>
  <si>
    <t>Beyers, JHM; Harms, TM</t>
  </si>
  <si>
    <t>Outdoors modelling of snowdrift at SANAE IV Research Station, Antarctica</t>
  </si>
  <si>
    <t>JOURNAL OF WIND ENGINEERING AND INDUSTRIAL AERODYNAMICS</t>
  </si>
  <si>
    <t>snowdrift modelling; Antarctica; similarity analysis</t>
  </si>
  <si>
    <t>SNOW; SALTATION; WIND</t>
  </si>
  <si>
    <t>This paper describes the experimental modelling procedure and results to evaluate the snowdrift characteristics surrounding the research station of the South African National Antarctic Expedition, SANAE IV. For this purpose a 1:25 scale model of the research station was constructed and mounted on a large flat snow covered area in the vicinity of the base. The wind profiles of the prevailing winds were measured with a 6-m wind mast positioned near the base model and the characteristic surface roughness and shear velocity functions were derived and analysed. Snow buildup was measured behind the scale model as well as the existing research station and a comparison was evaluated between the two, based on a similarity analysis. The similarity analysis method and results are presented in this paper. It is found that the surface roughness and shear velocity functions derived from the wind velocity data compares favourably with available results in literature for similar measurements of wind profiles in drifting snow conditions, From these results an inner law velocity relationship is established with additional parameters to account for the effects of surface roughness and saltating snow, It is further shown that the scaling parameters employed for the snowdrift modelling provide acceptable results when applied to outdoors modelling of snowdrifting. (C) 2002 Elsevier Science Ltd. All rights reserved.</t>
  </si>
  <si>
    <t>Beyers, JHM (corresponding author), Univ Stellenbosch, Dept Mech Engn, Private Bag X1, ZA-7602 Matieland, South Africa.</t>
  </si>
  <si>
    <t>0167-6105</t>
  </si>
  <si>
    <t>J WIND ENG IND AEROD</t>
  </si>
  <si>
    <t>J. Wind Eng. Ind. Aerodyn.</t>
  </si>
  <si>
    <t>PII S0167-6105(02)00409-9</t>
  </si>
  <si>
    <t>10.1016/S0167-6105(02)00409-9</t>
  </si>
  <si>
    <t>Engineering, Civil; Mechanics</t>
  </si>
  <si>
    <t>Engineering; Mechanics</t>
  </si>
  <si>
    <t>645VK</t>
  </si>
  <si>
    <t>WOS:000181000400007</t>
  </si>
  <si>
    <t>Trites, AW; Donnelly, CP</t>
  </si>
  <si>
    <t>The decline of Steller sea lions Eumetopias jubatus in Alaska:: a review of the nutritional stress hypothesis</t>
  </si>
  <si>
    <t>MAMMAL REVIEW</t>
  </si>
  <si>
    <t>northern sea lion; nutrition; pinnipeds; population decline</t>
  </si>
  <si>
    <t>ANTARCTIC FUR SEALS; ASSIMILATION EFFICIENCY; PHOCA-VITULINA; HARBOR SEALS; HARP SEALS; BODY-SIZE; REPRODUCTIVE-PERFORMANCE; INTERANNUAL VARIABILITY; POPULATION DECLINE; FORAGING BEHAVIOR</t>
  </si>
  <si>
    <t>1. The decline of Steller sea lions Eumetopias jubatus in the Gulf of Alaska and Aleutian Islands between the late 1970s and 1990s may have been related to reduced availability of suitable prey. Many studies have shown that pinnipeds and other mammals suffering from nutritional stress typically exhibit reduced body size, reduced productivity, high mortality of pups and juveniles, altered blood chemistry and specific behavioural modifications. 2. Morphometric measurements of Steller sea lions through the 1970s and 1980s in Alaska indicate reduced body size. Reduced numbers of pups born and an apparent increase in juvenile mortality rates also appear to be nutritionally based. Blood chemistry analyses have further shown that Steller sea lions in the Gulf of Alaska and Aleutian Islands area exhibited signs of an acute phase reaction, or immune reaction, in response to unidentified physical and/or environmental stress. Behavioural studies during the 1990s have not noted any changes that are indicative of an overall shortage in the quantity of prey available to lactating female sea lions. 3. The data collected in Alaska are consistent with the hypothesis that Steller sea lions in the declining regions were nutritionally compromised because of the relative quality of prey available to them (chronic nutritional stress), rather than because of the overall quantity of fish per se (acute nutritional stress). This is further supported by captive studies that indicate the overall quality of prey that has been available to Steller sea lions in the declining population could compromise the health of Steller sea lions and hinder their recovery.</t>
  </si>
  <si>
    <t>Univ British Columbia, Marine Mammal Res Unit, Fisheries Ctr, Vancouver, BC V6T 1Z4, Canada</t>
  </si>
  <si>
    <t>University of British Columbia</t>
  </si>
  <si>
    <t>Univ British Columbia, Marine Mammal Res Unit, Fisheries Ctr, 2204 Main Mall, Vancouver, BC V6T 1Z4, Canada.</t>
  </si>
  <si>
    <t>trites@zoology.ubc.ca</t>
  </si>
  <si>
    <t>Trites, Andrew/K-5648-2012</t>
  </si>
  <si>
    <t>Trites, Andrew/0000-0003-0342-5322</t>
  </si>
  <si>
    <t>0305-1838</t>
  </si>
  <si>
    <t>1365-2907</t>
  </si>
  <si>
    <t>MAMMAL REV</t>
  </si>
  <si>
    <t>Mammal Rev.</t>
  </si>
  <si>
    <t>10.1046/j.1365-2907.2003.00009.x</t>
  </si>
  <si>
    <t>658VE</t>
  </si>
  <si>
    <t>WOS:000181740500002</t>
  </si>
  <si>
    <t>Alonzo, F; Mayzaud, P; Razouls, S; Bocher, P; Cherel, Y</t>
  </si>
  <si>
    <t>Seasonal changes in biomass, growth rates and production of subantarctic calanoid copepods in the Bay of Morbihan, Kerguelen Islands</t>
  </si>
  <si>
    <t>SUB-ANTARCTIC COPEPOD; SOUTHERN INDIAN-OCEAN; MARINE PLANKTONIC COPEPODS; WEIGHT-SPECIFIC GROWTH; COMMON DIVING PETRELS; EGG-PRODUCTION; EUCHAETA-ANTARCTICA; PARAEUCHAETA ANTARCTICA; BIOCHEMICAL-COMPOSITION; DREPANOPUS-PECTINATUS</t>
  </si>
  <si>
    <t>The present study addresses the ecology of two dominant copepod species in the Bay of Morbihan, Kerguelen Archipelago. The biomass of the herbivore Drepanopus pectinatus (from 2 mg m(-3) in winter up to 500 mg m(-3) in summer) is tightly coupled to seasonal changes in chlorophyll a concentration in the region, whereas the biomass of the predatory euchaetiid Paraeuchaeta antarctica increases during two distinct periods over the year: 250 mg m(-3) in early summer, with the recruitment of the annual generation, and 100 mg m(-3) in autumn, with the deposition of lipids as energy reserves in C5 stages and adults. The juvenile growth rates predicted by temperature-dependent models (0.09 day(-1)) closely approximate those observed in D. pectinatusin summer, but are much greater than those observed in P. antarctica (from 0.001 to 0.04 day(-1) depending on developmental stages). This difference can be explained by the reproductive strategies and trophic positions of the two species and may also result from the dependence of larval growth on energy reserves in P. antarctica. The production rates are five- and tenfold greater in juvenile stages than in adults, respectively, for D. pectinatus and P. antarctica. The secondary production by D. pectinatusis insufficient to support P. antarctica during winter, when the predatory species probably shifts to alternate prey. In summer the predation by P. antarctica accounts for only a minor part of the mortality estimated for D. pectinatus (from 20% to 60% depending on the examined station). At two of the three stations examined in the Bay of Morbihan, the production of P. antarctica could potentially support the dietary requirements of planktivorous seabirds in the region (similar to2,000 kg prey day(-1) for common diving petrels, Pelecanoides urinatrix, and similar to90 kg prey day(-1) for rockhopper penguins, Eudyptes chysocomefilholi).</t>
  </si>
  <si>
    <t>Observ Oceanol Oceanog Biochim &amp; Ecol, LOBEPM, CNRS, ESA 7076, F-06230 Villefranche Sur Mer, France; Observ Oceanol, Lab Arago, URA CNRS 117, F-66630 Banyuls sur Mer, France; Ctr Etud Biol Chize, UPR CNRS 1934, F-79360 Villiers En Bois, France; Univ La Rochelle, Lab Biol &amp; Environm Marins, EA 1220, F-17026 La Rochelle, France; Univ Tasmania, IASOS, Hobart, Tas 7001, Australia</t>
  </si>
  <si>
    <t>Centre National de la Recherche Scientifique (CNRS); Centre National de la Recherche Scientifique (CNRS); Sorbonne Universite; La Rochelle Universite; University of Tasmania</t>
  </si>
  <si>
    <t>Mayzaud, P (corresponding author), Observ Oceanol Oceanog Biochim &amp; Ecol, LOBEPM, CNRS, ESA 7076, BP 2806230, F-06230 Villefranche Sur Mer, France.</t>
  </si>
  <si>
    <t>Alonzo, Frederic/0000-0002-7526-8058</t>
  </si>
  <si>
    <t>10.1007/s00227-002-0976-5</t>
  </si>
  <si>
    <t>670BR</t>
  </si>
  <si>
    <t>WOS:000182387900013</t>
  </si>
  <si>
    <t>Ecology of subtropical hermit crabs in SW Madagascar: short-range migrations</t>
  </si>
  <si>
    <t>SHELL SELECTION; QUIRIMBA ISLAND; MANGROVE SWAMP; COMPETITION; COEXISTENCE; MOZAMBIQUE; RESOURCE; ASSEMBLAGE; PREDATION; DECAPODA</t>
  </si>
  <si>
    <t>Many mobile animals migrate because of the different benefits provided by different localities in time and space. For hermit crabs, such benefits include resource (shell, water, food) acquisition and gamete release. One of the more successful crustacean land-invaders, Coenobita hermit crabs, undertake complex short-range migrations in SW Madagascar. Number of active hermit crabs was inversely related to wind strength and positively related to tidal range, emphasising that movement would conserve water. A circadian component was also recorded in the locomotory activity of Coenobita pseudorugosus and C. rugosus. Path linearity varied with many of the same parameters, but also with beach slope. Movement was primarily perpendicular to shore in small individuals, but the parallel proportion increased with hermit crab size and tidal range, probably driven mostly by shell and food searching. Despite the costs of movement and shell carriage in the terrestrial environment, C. pseudorugosus and C. rugosus were as fast as their marine counterparts. Their speeds varied principally with individual size and were approximately 20% faster without shells and about 20% slower when climbing up a 20degrees slope, compared to horizontal or downhill travel. Hermit crabs, which are highly numerous and speciose in SW Madagascar, do not seem to partition niches by differential movement patterns. Aside from provision of shells in middens and capturing large adults for bait or pets, human activity may have a profound effect on hermit crab movement: observations at rare uninhabited marine reserves like Nosy Ve show that considerable diurnal activity may take place despite the apparent hostility of the environment to an essentially marine animal.</t>
  </si>
  <si>
    <t>Natl Univ Ireland Univ Coll Cork, Dept Zool &amp; Anim Ecol, Cork, Ireland</t>
  </si>
  <si>
    <t>University College Cork</t>
  </si>
  <si>
    <t>10.1007/s00227-002-0968-5</t>
  </si>
  <si>
    <t>WOS:000182387900015</t>
  </si>
  <si>
    <t>Lannig, G; Eckerle, LG; Serendero, I; Sartoris, FJ; Fischer, T; Knust, R; Johansen, T; Pörtner, HO</t>
  </si>
  <si>
    <t>Temperature adaptation in eurythermal cod (Gadus morhua):: a comparison of mitochondrial enzyme capacities in boreal and Arctic populations</t>
  </si>
  <si>
    <t>CYTOCHROME-C-OXIDASE; METABOLIC COLD ADAPTATION; THERMAL-ACCLIMATION; ANTARCTIC FISHES; SEASONAL-CHANGES; CHANNEL CATFISH; RAINBOW-TROUT; MUSCLE; COMPENSATION; MEMBRANE</t>
  </si>
  <si>
    <t>Activities of citrate synthase (CS), cytochrome c oxidase (CCO) and the electron transport system (ETS) were investigated in white muscle and liver of laboratory-maintained cod, Gadus morhua, from the North Sea, Norwegian coast and Barents Sea for an analysis of temperature acclimation and adaptation in aerobic metabolism. Cold acclimation within each population led to elevated activities of CS, CCO and ETS in white muscle. In liver, however, only North Sea cod showed cold-compensated CS activities, with CCO and ETS unchanged. In contrast, cold-acclimated Norwegian cod displayed unchanged enzyme activities, and Arctic cod showed elevated activities for CS, but decreased activities for CCO and no change in ETS. Between-population comparisons revealed clear evidence for permanent cold adaptation in white muscle of northern (Norwegian coast and Barents Sea) compared to boreal (North Sea) cod populations, reflected by higher activities of CS, CCO and ETS at the same acclimation temperature. Cold-compensated, mass-specific enzyme activities in liver were found in northern compared to boreal cod for CS and CCO, however, for ETS, after warm acclimation only. When evaluated as capacity in total liver, such activities were only found in northern populations in the case of CS at all temperatures, and. for CCO and ETS at 15degreesC only. Hepatosomatic index (I-H) and liver lipid contents were highest in North Sea cod, with similar I-H but lower lipid contents in cold- versus warm-acclimated animals. An acclimation effect on I-H was found in Norwegian cod only, with higher IH but unchanged lipid contents in the cold. In conclusion, permanent cold adaptation of muscle aerobic metabolism prevails in cod populations at higher latitudes, which is in line with permanently elevated rates of oxygen consumption observed in a parallel study. These differences reflect higher maintenance costs in cold-adapted versus cold-acclimated cod.</t>
  </si>
  <si>
    <t>Alfred Wegener Inst Polar &amp; Marine Res, D-27568 Bremerhaven, Germany; Univ Bergen, N-5020 Bergen, Norway</t>
  </si>
  <si>
    <t>Helmholtz Association; Alfred Wegener Institute, Helmholtz Centre for Polar &amp; Marine Research; University of Bergen</t>
  </si>
  <si>
    <t>hpoertner@awi-bremerhaven.de</t>
  </si>
  <si>
    <t>Pörtner, Hans-O./ISU-9397-2023; Lannig, Gisela/D-5793-2017; Pörtner, Hans-O./K-9429-2016</t>
  </si>
  <si>
    <t>Pörtner, Hans-O./0000-0001-6535-6575; Sartoris, Franz-Josef/0000-0001-7228-3220; Lannig, Gisela/0000-0002-9210-256X</t>
  </si>
  <si>
    <t>10.1007/s00227-002-0967-6</t>
  </si>
  <si>
    <t>WOS:000182387900020</t>
  </si>
  <si>
    <t>Xavier, JC; Croxall, JP; Trathan, PN; Rodhouse, PG</t>
  </si>
  <si>
    <t>Inter-annual variation in the cephalopod component of the diet of the wandering albatross, Diomedea exulans breeding at Bird Island, South Georgia</t>
  </si>
  <si>
    <t>INDIAN-OCEAN; PREY; INFORMATION; SEABIRD</t>
  </si>
  <si>
    <t>Cephalopods play an important role in the diet of many predators of the Southern Ocean. We investigated the cephalopod component of the diet of the wandering albatross, during breeding at South Georgia, from 269 boluses containing more than 34,000 beaks (corresponding to 19,452 individual cephalopods), collected between 1989 and 1999, and assessed the inter-annual variability of the cephalopod species, the level of scavenging on cephalopods by wandering albatrosses and the relationships between cephalopod availability and wandering albatross breeding parameters (breeding period, breeding success, fledging period, fledging success, egg mass and chick mass). We also proposed possible foraging areas of wandering albatrosses based on the cephalopods eaten. The cephalopod component of the diet of wandering albatrosses was relatively stable over the I I years of the study. By number of lower beaks, three species predominated in the cephalopod component of the diet: Kondakovia longimana (29.5% of the total number of lower beaks; family Onychoteuthidae), Taonius sp. (20.4%; family Cranchiidae) and Histioteuthis sp. B (19.5%; family Histioteuthidae). K. longiniana was consistently the predominant cephalopod species by mass in every year of the study (range 60.2-88.7% of mass contribution to diet). A minimum estimate of 30% of the number of cephalopods scavenged corresponded to 85% of the total mass of the cephalopods that contributed to the diet. Wandering albatrosses fed consistently more on Antarctic cephalopods than on sub-Antarctic or subtropical cephalopods in all years of the study, suggesting that Antarctic waters are an important foraging area for wandering albatrosses. Although some significant correlations between cephalopod abundance and wandering albatross breeding parameters existed (e.g. correlation between Taonius sp. by number and fledging success), none included K. longimana. When comparing groups of variables (using canonical analysis), no correlations were found between the most important cephalopod species (by number and by mass), total mass of squid consumed, cephalopod diversity index (H) for each year, and wandering albatross breeding parameters. This may reflect the possibility that other components in the diet (e.g. fish and carrion) are more important or, more likely, that the consistency across years of the wandering albatross breeding performance indicates that it is well buffered against fluctuations in prey availability.</t>
  </si>
  <si>
    <t>JCCX@bas.ac.uk</t>
  </si>
  <si>
    <t>10.1007/s00227-002-0962-y</t>
  </si>
  <si>
    <t>WOS:000182387900022</t>
  </si>
  <si>
    <t>Culver, SJ</t>
  </si>
  <si>
    <t>Benthic foraminifera across the Cretaceous-Tertiary (K-T) boundary: a review</t>
  </si>
  <si>
    <t>foraminifera; benthic; extinction; Cretaceous-Tertiary boundary</t>
  </si>
  <si>
    <t>CATASTROPHIC MASS EXTINCTION; SEA-LEVEL CHANGES; EL-KEF; DEEP-SEA; PALEOGENE BOUNDARY; ANTARCTIC OCEAN; STABLE-ISOTOPE; MICROHABITAT PREFERENCES; PLANKTONIC-FORAMINIFERA; HIATUS DISTRIBUTIONS</t>
  </si>
  <si>
    <t>The response of the Earth's biota to global change is of fundamental interest to paleontologists, but patterns of change in paleontologic data are also of interest to a wider spectrum of Earth scientists in that those patterns are of great significance in constraining hypotheses that attempt to explain physical changes in the Earth's environment. The Cretaceous-Tertiary (K-T) boundary is a case in point. Some paleontologists have criticized the bolide impact hypothesis, not because they deny the impact but because the proposed effects of that impact do not always conform to the available paleontological data. Benthic foraminifera are of particular interest in this context because it has been suggested for over 20 years that shallow-water benthic foraminifera were affected more severely than deep-water benthic foraminifera by events at the K-T boundary. This observation adds to the fact of planktonic foraminiferal extinction and indicates that K-T boundary environmental effects were largely restricted to shallow waters. In this paper I review all published works on smaller benthic foraminifera at the K-T boundary and conclude the following. (1) Shallow-water benthic foraminifera were not more severely affected than deeper dwelling species. True extinction, as opposed to local extinction and/or mass mortality, is generally quite low no matter what the water depth. (2) The data are not sufficient in quality, quantity and geographic range to conclude that there is a latitudinal pattern of extinction. (3) In general, biotic changes (such as they are) begin before the boundary in shallow and intermediate depth waters and at the boundary in deep water. Disagreements about the placement of the boundary and the presence, absence and duration of hiatuses hinder more precise conclusions. (4) There appears to be preferential survivorship of epifaunal species into the early Danian with a short interval dominated by infaunal taxa in the earliest Danian. This pattern can best be explained by short-lived input of increased amounts of organic matter at the boundary followed by a sudden collapse of primary productivity and, hence, major reduction or cessation of organic flux to the seafloor. In summary, based on the current dataset, smaller benthic foraminifera, no matter whether they lived in shallow or deep waters, high or low latitudes, or infaunal or epifaunal microhabitats, survived the environmental events across the K-T boundary quite well. Mass extinction does not characterize this group of organisms at this time. (C) 2002 Elsevier Science B.V. All rights reserved.</t>
  </si>
  <si>
    <t>E Carolina Univ, Dept Geol, Greenville, NC 27858 USA</t>
  </si>
  <si>
    <t>University of North Carolina; East Carolina University</t>
  </si>
  <si>
    <t>E Carolina Univ, Dept Geol, Cromwell Rd, Greenville, NC 27858 USA.</t>
  </si>
  <si>
    <t>culvers@mail.ecu.edu</t>
  </si>
  <si>
    <t>PII S0377-8398(02)00117-2</t>
  </si>
  <si>
    <t>10.1016/S0377-8398(02)00117-2</t>
  </si>
  <si>
    <t>656UQ</t>
  </si>
  <si>
    <t>WOS:000181627600001</t>
  </si>
  <si>
    <t>Hughes, KA; Blenkharn, N</t>
  </si>
  <si>
    <t>A simple method to reduce discharge of sewage microorganisms from an Antarctic research station</t>
  </si>
  <si>
    <t>Antarctica; coliforms; faecal pollution; seawater; sewage outfall</t>
  </si>
  <si>
    <t>ENTERIC BACTERIA; MCMURDO-STATION; MARINE-ENVIRONMENT; COASTAL WATERS; POLLUTION; SEAWATER; OUTFALL; SURVIVAL</t>
  </si>
  <si>
    <t>The majority of coastal Antarctic stations release untreated sewage into the near-shore marine environment. This study examined bacterial reproduction within the temporary sewage-holding tanks of Rothera Research Station (Adelaide Island, Antarctic Peninsula) and monitored sewage pollution in the local marine environment. By continuously flushing the sewage-holding tanks with cold seawater we inhibited microbial reproduction and decreased the numbers of bacteria subsequently released into the sea by &gt;90%. The widespread use of this simple method could significantly reduce the numbers of faecal coliform and other non-native microorganisms introduced into the Antarctic marine environment. (C) 2002 Elsevier Science Ltd. All rights reserved.</t>
  </si>
  <si>
    <t>Hughes, KA (corresponding author), British Antarctic Survey, Natl Environm Res Council, High Cross,Madingley Rd, Cambridge CB3 0ET, England.</t>
  </si>
  <si>
    <t>kchu@bas.ac.uk</t>
  </si>
  <si>
    <t>10.1016/S0025-326X(02)00224-2</t>
  </si>
  <si>
    <t>655XY</t>
  </si>
  <si>
    <t>WOS:000181579000022</t>
  </si>
  <si>
    <t>Badjukov, DD; Raitala, J</t>
  </si>
  <si>
    <t>Micrometeorites from the northern ice cap of the Novaya Zemlya archipelago, Russia: The first occurrence</t>
  </si>
  <si>
    <t>COSMIC SPHERULES; ANTARCTIC MICROMETEORITES; ELEMENTAL COMPOSITION; ACCRETION RATE; BLUE ICE; DUST; COLLECTION; IRON; METEORITES; PARTICLES</t>
  </si>
  <si>
    <t>Glacial deposits at the margins of the ice cap of the northern island of the Novaya Zemlya archipelago, Russia, contain numerous spherules and rare scoriaceous particles thought to be extraterrestrial. The 1 Kyr old glacier has decreased in volume and coverage during the last 40 years, leaving the spherules contained in the ice at the margins of the glacier where they can be easily collected. The spherules are similar in their appearance, texture, and mineralogy to cosmic spherules found in deep-sea sediments in Greenland and Antarctica. Silicate spherules have typical bar-like textures (75%) or porphyritic textures (15%), while other spherules are glassy (7%). The spheules from Novaya Zemlya are altered only slightly. There are spherules consisting of iron oxides, metal cores with iron oxide rims, a continuous network of iron oxide dendrites in a glass matrix, and particles rich in chromite (3%). Some spherules contain metal droplets and relict forsterite and low-Ca pyroxene. Silicate spherule compositions match compositions of other cosmic spherules. Both Nova Zemlya and other cosmic spherules are close to carbonaceous chondrite matrices in patterns of variations for Ca. Mg, Si, and Al, which might suggest that their predecessor was similar to carbonaceous chondrite matrices. Unmelted micrometeorites are generally depleted in Ca and Mg and enriched in Al relative to cosmic spherules. The depletion of the micrometeorites in Ca and Mg can be connected with their terrestrial alteration (Kurat et al. 1994), while the Al enrichment seems to be primary.</t>
  </si>
  <si>
    <t>RAS, VI Vernadskii Inst Geochem &amp; Analyt Chem, Moscow 11991, Russia; Univ Oulu, Dept Phys Sci, FIN-90014 Oulu, Finland</t>
  </si>
  <si>
    <t>Russian Academy of Sciences; Vernadsky Institute of Geochemistry &amp; Analytical Chemistry; University of Oulu</t>
  </si>
  <si>
    <t>Badjukov, DD (corresponding author), RAS, VI Vernadskii Inst Geochem &amp; Analyt Chem, Kosygin Str 19, Moscow 11991, Russia.</t>
  </si>
  <si>
    <t>10.1111/j.1945-5100.2003.tb00269.x</t>
  </si>
  <si>
    <t>731DC</t>
  </si>
  <si>
    <t>WOS:000185868400001</t>
  </si>
  <si>
    <t>Fauth, G; Seeling, J; Luther, A</t>
  </si>
  <si>
    <t>Campanian (Upper Cretaceous) ostracods from southern James Ross Island, Antarctica</t>
  </si>
  <si>
    <t>STRATIGRAPHY; PENINSULA; BASIN</t>
  </si>
  <si>
    <t>In a first systematic study of Cretaceous ostracods from Antarctica, a middle to upper Campanian fauna from James Ross Island. Antarctic Peninsula, is described. Previously, the existence of these microfossils has only been mentioned in passing by a few authors. The material was sampled at Hamilton Point on the southeastern part of the island. The fauna contains a moderately rich and diverse association of marine ostracods, which are assigned to thirteen genera, including: Cytherella, Cytherelloidea, Bairdia, Bythocypris. Argilloecia?, Paracypris, Majungaella, Mandelstamia, Rostrocytheridea, Cytheropteron, and Eocytheropteron. In addition. Trachyleberididae gen. et sp. indet. and one indeterminate taxon occur. Among the sixteen species present. two are described as new: Mandelstamia antarctica n. sp. and Rostrocytheridea hamiltonensis n. sp.</t>
  </si>
  <si>
    <t>Univ Santa Cruz do Sul, Proreitoria Pesquisa, BR-96815900 Santa Cruz Do Sul, RS, Brazil; Univ Heidelberg, Inst Geol Palaontol, DE-69120 Heidelberg, Germany</t>
  </si>
  <si>
    <t>Universidade de Santa Cruz do Sul; Ruprecht Karls University Heidelberg</t>
  </si>
  <si>
    <t>Fauth, G (corresponding author), Univ Santa Cruz do Sul, Proreitoria Pesquisa, Caixa Postal 188, BR-96815900 Santa Cruz Do Sul, RS, Brazil.</t>
  </si>
  <si>
    <t>Fauth, Gerson/AAE-3353-2021</t>
  </si>
  <si>
    <t>Fauth, Gerson/0000-0003-2594-1424</t>
  </si>
  <si>
    <t>10.2113/49.1.95</t>
  </si>
  <si>
    <t>683WZ</t>
  </si>
  <si>
    <t>WOS:000183175200005</t>
  </si>
  <si>
    <t>Wolfe, KH; Li, WH</t>
  </si>
  <si>
    <t>Molecular evolution meets the genomics revolution</t>
  </si>
  <si>
    <t>NATURE GENETICS</t>
  </si>
  <si>
    <t>POSITIVE DARWINIAN SELECTION; MALE-DRIVEN EVOLUTION; PARASITE ENCEPHALITOZOON-CUNICULI; ASYMMETRIC SUBSTITUTION PATTERNS; DIRECTIONAL MUTATION PRESSURE; ANTARCTIC NOTOTHENIOID FISH; PROTEIN-INTERACTION NETWORK; LATERAL GENE-TRANSFER; AMINO-ACID SITES; RAPID EVOLUTION</t>
  </si>
  <si>
    <t>Changes in technology in the past decade have had such an impact on the way that molecular evolution research is done that it is difficult now to imagine working in a world without genomics or the Internet. In 1992, GenBank was less than a hundredth of its current size and was updated every three months on a huge spool of tape. Homology searches took 30 minutes and rarely found a hit. Now it is difficult to find sequences with only a few homologs to use as examples for teaching bioinformatics. For molecular evolution researchers, the genomics revolution has showered us with raw data and the information revolution has given us the wherewithal to analyze it. In broad terms, the most significant outcome from these changes has been our newfound ability to examine the evolution of genomes as a whole, enabling us to infer genome-wide evolutionary patterns and to identify subsets of genes whose evolution has been in some way atypical.</t>
  </si>
  <si>
    <t>Univ Dublin Trinity Coll, Dept Genet, Smurfit Inst, Dublin 2, Ireland; Univ Chicago, Dept Ecol &amp; Evolut, Chicago, IL 60637 USA</t>
  </si>
  <si>
    <t>Trinity College Dublin; University of Chicago</t>
  </si>
  <si>
    <t>Univ Dublin Trinity Coll, Dept Genet, Smurfit Inst, Dublin 2, Ireland.</t>
  </si>
  <si>
    <t>khwolfe@tcd.ie</t>
  </si>
  <si>
    <t>Wolfe, Kenneth H/B-4653-2009</t>
  </si>
  <si>
    <t>Wolfe, Kenneth/0000-0003-4992-4979; Li, Wen-Hsiung/0000-0003-1086-1456</t>
  </si>
  <si>
    <t>75 VARICK ST, 9TH FLR, NEW YORK, NY 10013-1917 USA</t>
  </si>
  <si>
    <t>1061-4036</t>
  </si>
  <si>
    <t>1546-1718</t>
  </si>
  <si>
    <t>NAT GENET</t>
  </si>
  <si>
    <t>Nature Genet.</t>
  </si>
  <si>
    <t>10.1038/ng1088</t>
  </si>
  <si>
    <t>Genetics &amp; Heredity</t>
  </si>
  <si>
    <t>652QY</t>
  </si>
  <si>
    <t>WOS:000181390900006</t>
  </si>
  <si>
    <t>Humi, M</t>
  </si>
  <si>
    <t>The case for 2d turbulence in Antarctic data</t>
  </si>
  <si>
    <t>NUOVO CIMENTO DELLA SOCIETA ITALIANA DI FISICA C-GEOPHYSICS AND SPACE PHYSICS</t>
  </si>
  <si>
    <t>2-DIMENSIONAL TURBULENCE; BOUNDARY-LAYER; SPECTRA; DYNAMICS; WAVES</t>
  </si>
  <si>
    <t>In this paper we analyze the data that was collected at the British Haley Station in Antarctica on June 22, 1986. This data contains measurements of the temperature and wind velocity at three heights (5 m,16 m and 32 m). Using the Karahunen-Loeve algorithm we decompose this raw data into mean flow, waves and turbulent residuals. We then apply three tests to find if the turbulent field might represent two-dimensional turbulence. The first of these tests was devised by Dewan (see Radio Sci., 20 (1985) 1301), while the second relates to the scaling of the structure function (see Lindborg E., J. Fluid Mech., 388 (1999) 259). To confirm further the results of these two tests, we show that around a frequency of 0.5 rad/s most of the spectral plots for the raw data exhibit a slope of -3. We also construct a scaling model in an attempt to interpret part of the high-frequency spectrum of this data which is almost flat and discuss its possible relation to Bolgiano buoyancy range turbulence.</t>
  </si>
  <si>
    <t>Worcester Polytech Inst, Dept Math Sci, Worcester, MA 01609 USA</t>
  </si>
  <si>
    <t>Worcester Polytechnic Institute</t>
  </si>
  <si>
    <t>Humi, M (corresponding author), Worcester Polytech Inst, Dept Math Sci, 100 Inst Rd, Worcester, MA 01609 USA.</t>
  </si>
  <si>
    <t>1124-1896</t>
  </si>
  <si>
    <t>NUOVO CIMENTO C</t>
  </si>
  <si>
    <t>Nuovo Cimento Soc. Ital. Fis. C-Geophys. Space Phys.</t>
  </si>
  <si>
    <t>MAR-APR</t>
  </si>
  <si>
    <t>705RH</t>
  </si>
  <si>
    <t>WOS:000184408200004</t>
  </si>
  <si>
    <t>Bobik, P; Storini, M; Kudela, K; Cordaro, EG</t>
  </si>
  <si>
    <t>Cosmic-ray transparency for a medium-latitude observatory</t>
  </si>
  <si>
    <t>MAGNETOSPHERIC MAGNETIC-FIELD; QUANTITATIVE MODELS; GEOMAGNETIC-FIELD; LOCATION</t>
  </si>
  <si>
    <t>The access of cosmic-ray particles to a medium-latitude observatory is analysed from results coming from the numerical solution of the charged-particle motion in the geomagnetic field. Evaluations are performed mainly for the Lomnicky Stit neutron monitor location (LS: 2634 a.s.l., geographic coordinates 49.20degrees N, 20.22degrees E), but some results for the Antarctic Laboratory for Cosmic Rays (LARC: 40 in a.s.l, 62.20degrees S and 301.04degrees E) are also given. Particular attention is paid to the variability of the magnetospheric screening appearing when the external magnetic field is added to the internal one.</t>
  </si>
  <si>
    <t>SAV, IEP, Kosice 004353, Slovakia; CNR, IFSI, I-00133 Rome, Italy; Univ Chile, FCFM, Dept Phys, Santiago, Chile</t>
  </si>
  <si>
    <t>Slovak Academy of Sciences; Consiglio Nazionale delle Ricerche (CNR); Istituto Nazionale Astrofisica (INAF); Universidad de Chile</t>
  </si>
  <si>
    <t>Bobik, P (corresponding author), SAV, IEP, Watson Str 47, Kosice 004353, Slovakia.</t>
  </si>
  <si>
    <t>Bobik, Pavol/0000-0002-4104-8241</t>
  </si>
  <si>
    <t>WOS:000184408200005</t>
  </si>
  <si>
    <t>Nikolaev, SD; Os'kina, NS</t>
  </si>
  <si>
    <t>Climatic zonation and types of thermal stratification of the surface water mass in the World Ocean during the Oligocene</t>
  </si>
  <si>
    <t>INDIAN-OCEAN; PACIFIC; OXYGEN; RECORD</t>
  </si>
  <si>
    <t>Climatic maps are compiled based on the foraminiferal data for the Early Oligocene and the beginning of the Late Oligocene, and thermal profiles of the surface water mass are reconstructed using oxygen isotope measurements in planktonic foraminiferal tests. The reconstruction reveals that, during the Oligocene, tropical and subtropical climatic conditions dominated between 60degrees N and 60degrees S, whereas conditions of a temperate climatic zone are only suggested at high southern latitudes in the Antarctic region. The temperatures were somewhat higher than those in the tropical zone, but lower than the present equatorial-tropic ones in several restricted regions (Gulf of Mexico, northwestern equatorial part of the Pacific). The thermal equator was located in the Northern Hemisphere. The Late Oligocene was colder than the Early Oligocene. The temperature distribution in the surface water mass demonstrates domination of tropical and subtropical thermal types of water masses with a higher and stronger thermocline as compared to the present. Water with a vertical temperature distribution resembling the present subpolar type, but with subtropical temperature values, is reconstructed in the extreme south, within the Antarctic region. The temperature distribution corresponds well to the main current patterns in the Oligocene.</t>
  </si>
  <si>
    <t>Moscow MV Lomonosov State Univ, Dept Geog, Moscow, Russia; Russian Acad Sci, PP Shirshov Oceanol Inst, Moscow, Russia</t>
  </si>
  <si>
    <t>Lomonosov Moscow State University; Russian Academy of Sciences; Shirshov Institute of Oceanology</t>
  </si>
  <si>
    <t>Nikolaev, SD (corresponding author), Moscow MV Lomonosov State Univ, Dept Geog, Moscow, Russia.</t>
  </si>
  <si>
    <t>Nikolaev, Sergei/L-8882-2015</t>
  </si>
  <si>
    <t>673FU</t>
  </si>
  <si>
    <t>WOS:000182570200012</t>
  </si>
  <si>
    <t>Shreider, AA; Bulychev, AA; Galindo-Zaldivar, J; Maldonado, A; Shreider, AA; Gilod, DA</t>
  </si>
  <si>
    <t>Geochronology of the Phoenix Ridge, South Pacific Ocean</t>
  </si>
  <si>
    <t>ANTARCTIC PENINSULA; SCOTIA SEA; PLATE BOUNDARY; TECTONICS; EVOLUTION; GRAVITY</t>
  </si>
  <si>
    <t>A new map of chrons C2A-C6A for the region of the Phoenix Mid-Ocean Ridge between the Shackleton and Hero transform faults was compiled. An analysis of the map presented showed that the sea spreading was most intensive 12-13 My BP when the rate was about 5.5 cm/y; subsequently, the rate monotonically decreased down to values close to 2.5 cm/y 5-7 My BP. Later, a sharp deceleration of the seafloor spreading process resulted in its complete cessation 3.1-3.4 My BP.</t>
  </si>
  <si>
    <t>Russian Acad Sci, PP Shirshov Oceanol Inst, Moscow, Russia; Moscow MV Lomonosov State Univ, Geol Fac, Moscow, Russia; Univ Granada, Granada, Spain; Inst Mediterranean Geol, Granada, Spain</t>
  </si>
  <si>
    <t>Russian Academy of Sciences; Shirshov Institute of Oceanology; Lomonosov Moscow State University; University of Granada</t>
  </si>
  <si>
    <t>Shreider, AA (corresponding author), Russian Acad Sci, PP Shirshov Oceanol Inst, Moscow, Russia.</t>
  </si>
  <si>
    <t>Galindo-Zaldivar, Jesus/K-3640-2012</t>
  </si>
  <si>
    <t>Galindo-Zaldivar, Jesus/0000-0002-3493-2637</t>
  </si>
  <si>
    <t>WOS:000182570200014</t>
  </si>
  <si>
    <t>Pannewitz, S; Schlensog, M; Green, TGA; Sancho, LG; Schroeter, B</t>
  </si>
  <si>
    <t>Are lichens active under snow in continental Antarctica?</t>
  </si>
  <si>
    <t>Antarctica; chlorophyll alpha fluorescence; lichen; microclimate; snow cover</t>
  </si>
  <si>
    <t>CARBON-DIOXIDE EXCHANGE; PHOTOSYNTHETIC ACTIVITY; WATER RELATIONS; PHYSIOLOGICAL INVESTIGATIONS; CASEY STATION; GREEN ALGAL; WILKES LAND; FLUORESCENCE; PATTERN; CYANOBACTERIAL</t>
  </si>
  <si>
    <t>Photosynthetic activity, detected as chlorophyll a fluorescence, was measured for lichens under undisturbed snow in continental Antarctica using fibre optics. The fibre optics had been buried by winter snowfall after being put in place the previous year under snow-free conditions. The fibre optics were fixed in place using specially designed holding devices so that the fibre ends were in close proximity to selected lichens. Several temperature and PPFD (photosynthetic photon flux density) sensors were also installed in or close to the lichens. By attaching a chlorophyll a fluorometer to the previously placed fibre optics it proved possible to measure in vivo potential photosynthetic activity of continental Antarctic lichens under undisturbed snow. The snow cover proved to be a very good insulator for the mosses and lichens but, in contrast to the situation reported for the maritime Antarctic, it retained the severe cold of the winter and prevented early warming. Therefore, the lichens and mosses under snow were kept inactive at subzero temperatures for a prolonged time, even though the external ambient air temperatures would have allowed metabolic activity. The results suggest that the major activity period of the lichens was at the time of final disappearance of the snow and lasted about 10-14 days. The activation of lichens under snow by high air humidity appeared to be very variable and species specific. Xanthoria mawsonii was activated at temperatures below -10degreesC through absorption of water from high air humidity. Physcia dubia showed some activation at temperatures around -5degreesC but only became fully activated at thallus temperatures of 0degreesC through liquid water. Candelariella flava stayed inactive until thallus temperatures close to zero indicated that liquid water had become available. Although the snow cover represented the major water supply for the lichens, lichens only became active for a brief time at or close to the time the snow disappeared. The snow did not provide a protected environment, as reported for alpine habitats, but appeared to limit lichen activity. This provides at least one explanation for the observed negative effect of extended snow cover on lichen growth.</t>
  </si>
  <si>
    <t>Univ Kiel, Inst Bot, D-24098 Kiel, Germany; Univ Waikato, Hamilton, New Zealand; Univ Complutense, Dept Biol Vegetal 2, Fac Farm, E-28040 Madrid, Spain</t>
  </si>
  <si>
    <t>University of Kiel; University of Waikato; Complutense University of Madrid</t>
  </si>
  <si>
    <t>Pannewitz, S (corresponding author), Univ Kiel, Inst Bot, Olshaussenstr 40, D-24098 Kiel, Germany.</t>
  </si>
  <si>
    <t>Sancho, leopoldo G./H-2974-2013; SANCHO, LEOPOLDO/G-9120-2015</t>
  </si>
  <si>
    <t>SANCHO, LEOPOLDO/0000-0002-4751-7475</t>
  </si>
  <si>
    <t>10.1007/s00442-002-1162-7</t>
  </si>
  <si>
    <t>672AB</t>
  </si>
  <si>
    <t>WOS:000182497200004</t>
  </si>
  <si>
    <t>Moreno, I; Kapp, H</t>
  </si>
  <si>
    <t>Structures of grasping spines and teeth in three species of chaetognaths from Antarctic waters</t>
  </si>
  <si>
    <t>The shape and surface structures of the grasping spines and teeth of the Antarctic chaetognaths Eukrohnia hamata, Sagitta gazellae and S. marri collected in Bransfield Strait, were studied by scanning electron microscopy. The characters of arrangement, shape, curvature, surface, edges, and tips of hooks and teeth are described and discussed.</t>
  </si>
  <si>
    <t>Univ Illes Balears, Palma De Mallorca 07071, Majorca, Spain; IMEDEA CSIC, Palma De Mallorca 07071, Isl Majorca, Spain; Univ Hamburg, Inst Zool, D-20146 Hamburg, Germany; Univ Hamburg, Museum Zool, Deutsch Zentrum Marine Biodivers Forsch, Forschungsinst Senckenberg, D-20146 Hamburg, Germany</t>
  </si>
  <si>
    <t>Universitat de les Illes Balears; Consejo Superior de Investigaciones Cientificas (CSIC); ATTITUS Educacao; University of Hamburg; University of Hamburg; Senckenberg Gesellschaft fur Naturforschung (SGN)</t>
  </si>
  <si>
    <t>Moreno, I (corresponding author), Univ Illes Balears, Campus Univ, Palma De Mallorca 07071, Majorca, Spain.</t>
  </si>
  <si>
    <t>dbaimc0@clust.uib.es</t>
  </si>
  <si>
    <t>10.1007/s00300-002-0461-0</t>
  </si>
  <si>
    <t>657PT</t>
  </si>
  <si>
    <t>WOS:000181676100001</t>
  </si>
  <si>
    <t>Marquez, MEI; Carlini, AR; Baroni, AV; de Ferrer, PAR; Slobodianik, NH; Godoy, MF</t>
  </si>
  <si>
    <t>Shifts in immunoglobulin (IgG, IgM and IgA) levels in the milk of southern elephant seals, at Potter Peninsula, King George Island, Antarctica</t>
  </si>
  <si>
    <t>MIROUNGA-LEONINA; HUMORAL IMMUNITY; SUCKLING PERIOD; PHOCA-VITULINA; HARBOR SEAL; SERUM; PUPS; COLOSTRUM; MOTHERS; LACTATION</t>
  </si>
  <si>
    <t>We quantified immunoglobulins (Ig) in mammary secretions of 12 female southern elephant seals (Mirounga leonina) at King George Island, Antarctica, using single radial immunodiffusion on agarose plates. Seals were chemically immobilized for milk sample collection at four time points during the 3- to 4-week suckling period. All three major mammalian immunoglobulins (IgG, IgM, IgA) were detected in southern-elephant seal milk. Total immunoglobulin levels and the ratio of Ig subclasses varied throughout the suckling period. Total immunoglobulin levels were highest on the 1st day of lactation, when they represented over 57% of the mean total protein concentration of the milk, and declined steadily throughout lactation, representing approximately 40% of the mean total protein concentration at the end of the suckling period. IgG was the most abundant immunoglobulin class (85.93-93.78% of total milk immunoglobulins), followed by IgM (6.06-13.93%), and IgA (0.14-0.23%). There was no significant difference in IgA levels throughout the suckling period. IgG levels were significantly lower during the second stage (3-6 days post-parturition) than during the first, third or fourth stages (1, 13-15, and 19-25 days post-parturition, respectively). IgM levels were highest during the first stage of lactation; these values were significantly higher than levels measured during the second, third and fourth stages of lactation. Transfer of passive immunity from female to offspring in other mammalian species is correlated with the subclass of immunoglobulin secreted in the milk; species acquiring passive immunity in utero, via the placenta, secrete a preponderance of IgA, whereas species acquiring immunity post-partum, via lacteal secretions and gut resorption, secrete a preponderance of IgG. The Ig patterns and concentrations observed in our study of southern elephant seals are consistent with an important role of post-partum transmission of passive immunity during the pinniped lactation period.</t>
  </si>
  <si>
    <t>Argentine Antarctic Inst, Dept Sci Biol, RA-1010 Buenos Aires, DF, Argentina; Univ Buenos Aires, Dept Nutr &amp; Food Sci, Sch Pharm &amp; Biochem, RA-1113 Buenos Aires, DF, Argentina</t>
  </si>
  <si>
    <t>Argentine Antarctic Inst, Dept Sci Biol, Cerrito 1248, RA-1010 Buenos Aires, DF, Argentina.</t>
  </si>
  <si>
    <t>mitsuki@ffyb.uba.ar</t>
  </si>
  <si>
    <t>Godoy, María/GSM-7519-2022</t>
  </si>
  <si>
    <t>10.1007/s00300-002-0471-y</t>
  </si>
  <si>
    <t>WOS:000181676100002</t>
  </si>
  <si>
    <t>Casaux, R; Barrera-Oro, E; Baroni, A; Ramón, A</t>
  </si>
  <si>
    <t>Ecology of inshore notothenioid fish from the Danco Coast, Antarctic Peninsula</t>
  </si>
  <si>
    <t>SOUTH SHETLAND ISLANDS; TERRA-NOVA BAY; POTTER COVE; ROSS SEA; DIET; REPRODUCTION; CORIICEPS</t>
  </si>
  <si>
    <t>A total of 1,103 inshore notothenioid fish were caught by means of trammel-nets in 4 sites surrounding Cierva Point (Moss Island 1; Moss Island 2; Sterneck Island; Leopardo Island), Danco Coast, West Antarctic Peninsula, during February and March 2000. The families Nototheniidae, Channichthyidae and Bathydraconidae were represented in the samples, Notothenia coriiceps being the dominant fish of the area. Gobionotothen gibberifrons and Trematomus newnesi followed in importance. In general, the fish sampled agreed in terms of number and mass with those of the South Shetland Islands area, except for a marked higher occurrence of G. gibberifrons in the Danco Coast. This supports the hypothesis that the commercial fishery around the South Shetland Islands at the end of the 1970s was responsible for the decrease in the inshore population of G. gibberifrons in that area during the last 17 years. Information on morphometry, reproduction and diet of the fish species caught is provided.</t>
  </si>
  <si>
    <t>Inst Antartico Argentino, RA-1010 Buenos Aires, DF, Argentina; Consejo Nacl Invest Cient &amp; Tecn, RA-1033 Buenos Aires, DF, Argentina; Univ Buenos Aires, Fac Farm &amp; Bioquim, RA-1113 Buenos Aires, DF, Argentina; Natl Univ La Plata, Fac Med, RA-1900 La Plata, Argentina</t>
  </si>
  <si>
    <t>Instituto Antartico Argentino; Consejo Nacional de Investigaciones Cientificas y Tecnicas (CONICET); University of Buenos Aires; National University of La Plata</t>
  </si>
  <si>
    <t>Inst Antartico Argentino, Cerrito 1248, RA-1010 Buenos Aires, DF, Argentina.</t>
  </si>
  <si>
    <t>pipocasaux@infovia.com.ar</t>
  </si>
  <si>
    <t>10.1007/s00300-002-0463-y</t>
  </si>
  <si>
    <t>WOS:000181676100003</t>
  </si>
  <si>
    <t>Sands, CJ; Jarman, SN; Jackson, GD</t>
  </si>
  <si>
    <t>Genetic differentiation in the squid Moroteuthis ingens inferred from RAPD analysis</t>
  </si>
  <si>
    <t>MICROSATELLITE DNA MARKERS; EUPHAUSIA-SUPERBA DANA; NEW-ZEALAND WATERS; POPULATION-STRUCTURE; LOLIGO-FORBESI; SOUTHERN-OCEAN; EMBRYONIC-DEVELOPMENT; HEARD-ISLAND; CEPHALOPODA; ONYCHOTEUTHIDAE</t>
  </si>
  <si>
    <t>Randomly amplified polymorphic DNA markers (RAPDs) were applied in a cephalopod population study. Samples of the squid Moroteuthis ingens taken from around the Falkland Islands and Macquarie Island were used to test a null hypothesis that M. ingens forms a single, parimictic population in the Southern Ocean. Six of the 8 arbitrary RAPD primers screened produced a total of 30 reproducible polymorphic bands. Analysis of RAPD allele frequencies demonstrated high levels of variation between individuals but little variation between two sample sites. Although the differentiation between the two sites was low, subtle population structure was detected and the null hypothesis was rejected. The implications of low genetic differentiation between the two sites are briefly discussed in terms of possible egg and para-larval drift facilitated via the circumpolar current.</t>
  </si>
  <si>
    <t>Univ Tasmania, Inst Antarctic &amp; So Ocean Studies, Hobart, Tas 7005, Australia; Australian Antarctic Div, Kingston, Tas 7050, Australia</t>
  </si>
  <si>
    <t>Sands, CJ (corresponding author), La Trobe Univ, Dept Genet, Bundoora Campus, Bundoora, Vic 3086, Australia.</t>
  </si>
  <si>
    <t>c.sands@latrobe.edu.an</t>
  </si>
  <si>
    <t>Jackson, George D/AAI-7315-2021; Jarman, Simon/H-9265-2016</t>
  </si>
  <si>
    <t>Jarman, Simon/0000-0002-0792-9686; Sands, Chester/0000-0003-1028-0328</t>
  </si>
  <si>
    <t>10.1007/s00300-002-0467-7</t>
  </si>
  <si>
    <t>WOS:000181676100004</t>
  </si>
  <si>
    <t>Xie, ZQ; Sun, LG; Long, NY; Zhang, L; Kang, SX; Wu, ZQ; Huang, YY; Ju, X</t>
  </si>
  <si>
    <t>Analysis of the distribution of chemical elements in Adelie penguin bone using synchrotron radiation X-ray fluorescence</t>
  </si>
  <si>
    <t>PYGOSCELIS-ADELIAE; LEAD</t>
  </si>
  <si>
    <t>We performed synchrotron radiation X-ray fluorescence (SR-XRF) analysis of Adelie penguin bones, collected in the maritime Antarctic. This method enabled us to determine the microscopic concentration profiles of chemical elements in transverse bone sections. Results show that: (1) there are different concentration profiles for elements in the bones; (2) the inter-correlation of elements in the bones is complex; (3) some trace elements, including toxic ones like Rb, Sr, Fe, Mn, Cu, Co, Ni, Ti, Zr, Br, As, Hg, and Cr, are also detected somewhere in the cross section of the bones. It is suggested that further studies be conducted to establish an SR-XRF database for polar and non-polar animals. This will be greatly beneficial for characterizing penguins by the microscopic distribution of elements in bone and for the understanding of elements' roles in animal metabolism.</t>
  </si>
  <si>
    <t>Univ Sci &amp; Technol China, Inst Polar Environm, Sch Earth &amp; Space Sci, Anhua 230026, Peoples R China; Univ Sci &amp; Technol China, Sch Life Sci, Anhua 230026, Peoples R China; Univ Sci &amp; Technol China, Dept Astron &amp; Appl Phys, Anhua 230026, Peoples R China; Chinese Acad Sci, Inst High Energy Phys, Beijing 100039, Peoples R China</t>
  </si>
  <si>
    <t>Chinese Academy of Sciences; University of Science &amp; Technology of China, CAS; Chinese Academy of Sciences; University of Science &amp; Technology of China, CAS; Chinese Academy of Sciences; University of Science &amp; Technology of China, CAS; Chinese Academy of Sciences; Institute of High Energy Physics, CAS</t>
  </si>
  <si>
    <t>Univ Sci &amp; Technol China, Inst Polar Environm, Sch Earth &amp; Space Sci, Anhua 230026, Peoples R China.</t>
  </si>
  <si>
    <t>slg@ustc.edu.cn</t>
  </si>
  <si>
    <t>Huang, Yu/KDM-9182-2024; xie, zhouqing/P-9661-2019</t>
  </si>
  <si>
    <t>Huang, Yuying/0000-0001-8783-198X</t>
  </si>
  <si>
    <t>10.1007/s00300-002-0466-8</t>
  </si>
  <si>
    <t>WOS:000181676100005</t>
  </si>
  <si>
    <t>Piraino, S; De Vito, D; Bouillon, J; Boero, F</t>
  </si>
  <si>
    <t>Larval necrophilia: the odd life cycle of a pandeid hydrozoan in the Weddell Sea shelf</t>
  </si>
  <si>
    <t>RECENT ANTARCTIC EXPEDITIONS; OSWALDELLA STECHOW; STAUROTHECA ALLMAN; 1919 CNIDARIA; 1888 CNIDARIA; HYDROIDS; HYDRACTINIA; POLARSTERN; ECOLOGY</t>
  </si>
  <si>
    <t>Colonies of an athecate hydroid were found at six stations in the high Antarctic (Weddell Sea) growing on dead specimens of Flabelligera mundata (Annelida, Polychaeta). All living specimens of F. mundata at the same stations were free of epibionts. Transplantation experiments showed that hydropolyps did not produce stolons on substrates other than the epidermal jelly coat and chetae of dead F. mundata specimens. The largest colonies (&gt;1,000 polyps) producing medusa buds were cultured until medusa liberation: growth of medusae was then surveyed for the next 5 weeks, but development of adult features was extremely slow. Young medusae were ascribed to the suborder Pandeida by the presence of two main characters, namely (1) hollow marginal tentacles, and (2) a mouth with four simple lips. Considering polyp and young medusa features, this species is acknowledged as newly recorded for the Southern Ocean, and assigned to the genus Neoturris (Hydroidomedusae, Pandeidae).</t>
  </si>
  <si>
    <t>Univ Lecce, Dipartimento Sci &amp; Tecnol Biol &amp; Ambientali, I-73100 Lecce, Italy; Free Univ Brussels, Biol Marine Lab, B-1050 Brussels, Belgium</t>
  </si>
  <si>
    <t>University of Salento; Universite Libre de Bruxelles</t>
  </si>
  <si>
    <t>Piraino, S (corresponding author), Univ Lecce, Dipartimento Sci &amp; Tecnol Biol &amp; Ambientali, Via Monteroni, I-73100 Lecce, Italy.</t>
  </si>
  <si>
    <t>stefano.piraino@unile.it</t>
  </si>
  <si>
    <t>Boero, Ferdinando/B-4494-2008; De Vito, Doris/GRO-7020-2022; Piraino, Stefano/J-5234-2012</t>
  </si>
  <si>
    <t>De Vito, Doris/0000-0002-1881-5959; Piraino, Stefano/0000-0002-8752-9390; Boero, Ferdinando/0000-0002-6317-2710</t>
  </si>
  <si>
    <t>10.1007/s00300-002-0460-1</t>
  </si>
  <si>
    <t>WOS:000181676100006</t>
  </si>
  <si>
    <t>Montresor, M; Lovejoy, C; Orsini, L; Procaccini, G; Roy, S</t>
  </si>
  <si>
    <t>Bipolar distribution of the cyst-forming dinoflagellate Polarella glacialis</t>
  </si>
  <si>
    <t>SEA-ICE; PFIESTERIA-PISCICIDA; MOLECULAR EVOLUTION; GENETIC-VARIATION; ELLIS FJORD; PHYLOGENY; SYMBIODINIUM; PHYTOPLANKTON; FORAMINIFERA; ANTARCTICA</t>
  </si>
  <si>
    <t>Morphological investigations of motile cells and cysts of a small dinoflagellate (strain CCMP 2088) isolated from Canadian Arctic waters were carried out under both light and scanning electron microscopy. This species strongly resembled Polarella glacialis (strain CCMP 1383), which up to now was known only from Antarctic sea ice. The photosynthetic pigment composition of strain CCMP 2088 is typical of dinoflagellates, with peridinin as a major accessory pigment. Phylogenetic relationships between the two strains and other dinoflagellate species were inferred from SSU nrDNA using Neighbour Joining and weighted parsimony analyses. Our results showed that strain CCMP 2088 and P. glacialis (strain CCMP 1383) grouped in the same clade (Suessiales clade), showing high similarity values (0.99%). Morphological and molecular data support the assignment of the Arctic strain to P. glacialis. The free-living Gymnodinium simplex and the two P. glacialis strains have a basal position in the Suessiales clade, as compared to Symbiodinium spp.</t>
  </si>
  <si>
    <t>Staz Zool Anton Dohrn, I-80121 Naples, Italy; Univ Laval, GIROQ, Quebec City, PQ G1K 7P4, Canada; Univ Quebec, Inst Sci Mer Rimouski &amp; Quebec Ocean, Rimouski, PQ G5L 3A1, Canada</t>
  </si>
  <si>
    <t>Stazione Zoologica Anton Dohrn di Napoli; Laval University; University of Quebec</t>
  </si>
  <si>
    <t>Staz Zool Anton Dohrn, Villa Comunale, I-80121 Naples, Italy.</t>
  </si>
  <si>
    <t>mmontr@szn.it</t>
  </si>
  <si>
    <t>Procaccini, Gabriele/AAA-7040-2019; Procaccini, Gabriele/A-6618-2010; Orsini, Luisa/B-6773-2009; Lovejoy, Connie/A-3756-2008</t>
  </si>
  <si>
    <t>Procaccini, Gabriele/0000-0002-6179-468X; Procaccini, Gabriele/0000-0002-6179-468X; Montresor, Marina/0000-0002-2475-1787; Lovejoy, Connie/0000-0001-8027-2281; Orsini, Luisa/0000-0002-1716-5624</t>
  </si>
  <si>
    <t>10.1007/s00300-002-0473-9</t>
  </si>
  <si>
    <t>WOS:000181676100007</t>
  </si>
  <si>
    <t>van Oijen, T; van Leeuwe, MA; Gieskes, WWC</t>
  </si>
  <si>
    <t>Variation of particulate carbohydrate pools over time and depth in a diatom-dominated plankton community at the Antarctic Polar Front</t>
  </si>
  <si>
    <t>SOUTHERN-OCEAN; SKELETONEMA-COSTATUM; DIEL VARIATION; ROSS SEA; PHYTOPLANKTON; METABOLISM; POLYSACCHARIDES; BIOMASS; PROTEIN; SECTOR</t>
  </si>
  <si>
    <t>Carbohydrate dynamics were studied in an algal community dominated by the diatom Fragilariopsis kerguelensis at the Antarctic Polar Front during austral autumn 1999. Water-extractable mono- and polysaccharide concentrations from the particulate fraction were measured at six depths in the upper 100 in at seven stations along a N-S transect (20degreesE, 48-50degreesS) during 2 consecutive days. In addition, field populations were incubated on deck for 18 h at four different light intensities. Polysaccharide concentrations varied between 2.7 and 13.6 mug/l, monosaccharide concentrations between 2.5 and 8.9 mug/l. Near the surface (0-60 in), a diet pattern was observed in the polysaccharide concentration when normalised to the chlorophyll a or the monosaccharide concentration. The deck incubations supported the hypothesis that this pattern resulted from the diurnal accumulation and nocturnal consumption of reserve glucan. More polysaccharides accumulated at high light intensities than at low light intensities, in accordance with the observed decrease in normalised polysaccharide concentration with depth. In addition, the lower concentrations at depth might be explained by consumption: polysaccharides that were accumulated during time spent near the surface were subsequently respired when cells were transported to deeper and dimmer water layers. The variation in carbohydrate pools over-time and depth described here must be considered of ecological relevance to phytoplankton in the Southern Ocean subjected to extended periods of darkness (hours to days) due to vertical mixing and advection.</t>
  </si>
  <si>
    <t>Univ Groningen, Dept Marine Biol, CEES, NL-9750 AA Haren, Netherlands</t>
  </si>
  <si>
    <t>University of Groningen</t>
  </si>
  <si>
    <t>van Oijen, T (corresponding author), Univ Groningen, Dept Marine Biol, CEES, POB 14, NL-9750 AA Haren, Netherlands.</t>
  </si>
  <si>
    <t>t.van.oijen@biol.rug.nl</t>
  </si>
  <si>
    <t>10.1007/s00300-002-0456-x</t>
  </si>
  <si>
    <t>WOS:000181676100008</t>
  </si>
  <si>
    <t>Catry, P; Campos, A; Segurado, P; Silva, M; Strange, I</t>
  </si>
  <si>
    <t>Population census and nesting habitat selection of thin-billed prion Pachyptila belcheri on New Island, Falkland Islands</t>
  </si>
  <si>
    <t>PETRELS; CONSERVATION; SEABIRD</t>
  </si>
  <si>
    <t>Seabirds have the potential to be used as indicators for monitoring changes in the southern oceans. However, many species and populations are still poorly known. The thin-billed prion (Pachyptila belcheri) is the most abundant seabird species around the Falkland Islands, but this far, no detailed censuses of its populations had been carried out. In this study, we developed a methodology, based on standard field methods combined with a Geographical Information System, to census the biggest known colony (New Island) of this species. Data were also collected on nesting habitat preferences. Results indicate that there are 1,081,000 (95% confidence limits: 815,000-1,346,000) apparently active nest-burrow entrances on New Island South which, given the very high occupancy rates by known breeders, should correspond to a similar number of nesting couples. We present quantitative evidence that this result can be extrapolated for the entire island, giving an overall estimate of 2 million pairs. Prions have an almost ubiquitous distribution on New Island, but they are more frequent in areas with steeper slopes (excluding cliffs). Habitats dominated by introduced grass species generally hold higher densities of nests in comparison to most native formations.</t>
  </si>
  <si>
    <t>Inst Super Psicol Aplicada, Unidade Invest Ecoetol, P-1149041 Lisbon, Portugal; Univ Oxford, Edward Grey Inst Field Ornithol, Dept Zool, Oxford OX1 2JD, England; Quinta Sao Caetano, Evora, Portugal; Univ Evora, Unidade Macroecol &amp; Conservacao, Ctr Ecol Aplicada, P-7002554 Evora, Portugal; Univ Washington, Dept Zool, Seattle, WA 98195 USA; New Isl S Conservat Trust, New Isl S, Falkland Isl, England</t>
  </si>
  <si>
    <t>Instituto Superior Psicologia Aplicada (ISPA); University of Oxford; University of Evora; University of Washington; University of Washington Seattle</t>
  </si>
  <si>
    <t>paulo.catry@netc.pt</t>
  </si>
  <si>
    <t>Silva, Monica/ABG-1984-2021; Segurado, Pedro/A-1145-2011; Catry, Paulo/I-5408-2013</t>
  </si>
  <si>
    <t>Silva, Monica/0000-0003-2404-3964; Segurado, Pedro/0000-0002-5917-7893; Catry, Paulo/0000-0003-3000-0522</t>
  </si>
  <si>
    <t>10.1007/s00300-002-0465-9</t>
  </si>
  <si>
    <t>WOS:000181676100009</t>
  </si>
  <si>
    <t>Harper, EM; Peck, L</t>
  </si>
  <si>
    <t>Predatory behaviour and metabolic costs in the Antarctic muricid gastropod Trophon longstaffi</t>
  </si>
  <si>
    <t>BIVALVE LATERNULA ELLIPTICA; LIOTHYRELLA-UVA BRODERIP; KING-GEORGE ISLAND; SUMMER METABOLISM; BORING GASTROPODS; PROTEIN-SYNTHESIS; TEMPERATURE; PATTERNS; SEASONALITY; BRACHIOPODS</t>
  </si>
  <si>
    <t>Aquarium-based observations of the feeding behaviour of the Antarctic muricid gastropod Trophon longstaffi over a 3-year period revealed that individuals were capable of feeding on both bivalve (Laternula elliptica and Yoldia eightsi) and brachiopod (Liothyrella uva) prey. Feeding activity was remarkably infrequent, with most individuals taking between 0.67 and 2.66 items per year, but two individuals ate nothing for 30 months and another ate nothing over the entire 36-month period. The time taken to attack and consume prey was extremely slow, with 20 days to complete an attack on the brachiopod Liothyrella uva and 29 days for the bivalve Laternula elliptica. Y. eightsi were mostly attacked by a wedging method. Most attacks were by drilling and the positioning of large, highly distinctive drillholes was broadly stereotypic. Metabolic rates for T. longstaffi ranged from 46.2 mug O-2 h(-1) for a 1.7-g tissue dry mass individual to 18-1 mug O-2 h(-1) for a 0.98-g tissue dry mass specimen. These rates are amongst the lowest so far reported for a gastropod mollusc but are within the range previously recorded for polar invertebrates. We suggest that T. longstaffi is well adapted for the low temperature, but highly seasonal, Antarctic conditions, with a low energy strategy and the ability to withstand highly extended periods of limited food availability.</t>
  </si>
  <si>
    <t>Univ Cambridge, Dept Earth Sci, Cambridge CB2 3EQ, England; British Antarctic Survey, Cambridge CB3 0ET, England</t>
  </si>
  <si>
    <t>Univ Cambridge, Dept Earth Sci, Downing St, Cambridge CB2 3EQ, England.</t>
  </si>
  <si>
    <t>emh21@cus.cam.ac.uk</t>
  </si>
  <si>
    <t>Harper, Elizabeth M/B-3890-2008</t>
  </si>
  <si>
    <t>10.1007/s00300-002-0455</t>
  </si>
  <si>
    <t>WOS:000181676100010</t>
  </si>
  <si>
    <t>Aghajari, N; Van Petegem, F; Villeret, V; Chessa, JP; Gerday, C; Haser, R; Van Beeumen, J</t>
  </si>
  <si>
    <t>Crystal structures of a psychrophilic metalloprotease reveal new insights into catalysis by cold-adapted proteases</t>
  </si>
  <si>
    <t>PROTEINS-STRUCTURE FUNCTION AND BIOINFORMATICS</t>
  </si>
  <si>
    <t>extremophile; psychrophile; crystallography; adaptation; temperature</t>
  </si>
  <si>
    <t>ACTIVE CITRATE SYNTHASE; ALKALINE PROTEASE; ALPHA-AMYLASE; ALTEROMONAS-HALOPLANCTIS; PSEUDOMONAS-AERUGINOSA; SEQUENCE; ENZYMES; ADAPTATION; DEHYDROGENASE; MOLSCRIPT</t>
  </si>
  <si>
    <t>Enzymes from psychrophilic organisms differ from their mesophilic counterparts in having a lower thermostability and a higher specific activity at low and moderate temperatures. It is in general accepted that psychrophilic enzymes are more flexible to allow easy accommodation and transformation of the substrates at low energy costs. Here, we report the structures of two crystal forms of the alkaline protease from an Antarctic Pseudomonas species (PAP), solved to 2.1- and 1.96-Angstrom resolution, respectively. Comparative studies of PAP structures with mesophilic counterparts show that the overall structures are similar but that the conformation of the substrate-free active site in PAP resembles that of the substrate-bound region of the mesophilic homolog, with both an active-site tyrosine and a substrate-binding loop displaying a conformation as in the substrate-bound form of the mesophilic proteases. Further, a region in the catalytic domain of PAP undergoes a conformational change with a loop movement as large as 13 Angstrom, induced by the binding of an extra calcium ion. Finally, the active site is more accessible due to deletions occurring in surrounding loop regions. (C) 2003 Wiley-Liss, Inc.</t>
  </si>
  <si>
    <t>Univ Ghent, Lab Eiwitbiochem &amp; Eiwitengn, B-9000 Ghent, Belgium; CNRS, Lab Biocristallog, UMR 5086, Inst Biol &amp; Chim Prot, Lyon, France; Univ Lyon 1, F-69365 Lyon, France; Univ Liege, Inst Chim B6, Biochim Lab, Liege, Belgium</t>
  </si>
  <si>
    <t>Ghent University; Universite Claude Bernard Lyon 1; Centre National de la Recherche Scientifique (CNRS); CNRS - National Institute for Biology (INSB); Universite Claude Bernard Lyon 1; University of Liege</t>
  </si>
  <si>
    <t>Univ Ghent, Lab Eiwitbiochem &amp; Eiwitengn, B-9000 Ghent, Belgium.</t>
  </si>
  <si>
    <t>n.aghajari@ibcp.fr; jozef.vanbeeumen@rug.ac.be</t>
  </si>
  <si>
    <t>Aghajari, Nushin/P-1906-2016; Van petegem, Filip/M-6061-2016</t>
  </si>
  <si>
    <t>Aghajari, Nushin/0000-0002-2245-2679; Villeret, Vincent/0000-0003-4504-056X; Van petegem, Filip/0000-0003-2728-8537</t>
  </si>
  <si>
    <t>0887-3585</t>
  </si>
  <si>
    <t>1097-0134</t>
  </si>
  <si>
    <t>PROTEINS</t>
  </si>
  <si>
    <t>Proteins</t>
  </si>
  <si>
    <t>10.1002/prot.10264</t>
  </si>
  <si>
    <t>652JD</t>
  </si>
  <si>
    <t>WOS:000181375300015</t>
  </si>
  <si>
    <t>Schmittner, A; Saenko, OA; Weaver, AJ</t>
  </si>
  <si>
    <t>Coupling of the hemispheres in observations and simulations of glacial climate change</t>
  </si>
  <si>
    <t>OCEAN-ATMOSPHERE MODEL; THERMOHALINE CIRCULATION; ICE CORE; ANTARCTICA; GREENLAND; FUTURE; STABILITY; CO2</t>
  </si>
  <si>
    <t>We combine reconstructions, climate model simulations and a conceptual model of glacial climate change on millennial time scales to examine the relation between the high latitudes of both hemispheres. A lead-lag analysis of synchronised proxy records indicates that temperature changes in Greenland preceded changes of the opposite sign in Antarctica by 400-500 yr. A composite record of the Dansgaard-Oeschger events shows that rapid warming (cooling) in Greenland was followed by a slow cooling (warming) phase in Antarctica. The amplitudes, rates of change and time lag of the interhemispheric temperature changes found in the reconstructions are in excellent agreement with climate model simulations in which the formation of North Atlantic Deep Water is perturbed. The simulated time lag between high northern and southern latitudes is mainly determined by the slow meridional propagation of the signal in the Southern Ocean. Our climate model simulations also show that increased deep water formation in the North Atlantic leads to a reduction of the Antarctic Circumpolar Current through diminishing meridional density gradients in the Southern Ocean. We construct a simple conceptual model of interhemispheric Dansgaard-Oeschger oscillations. This model explains major features of the recorded temperature changes in Antarctica as well as the general shape of the north south phase relation found in the observations including a broad peak of positive correlations for a lead of Antarctica over Greenland by 1000-2000 yr. The existence of this peak is due to the regularity of the oscillations and does not imply a southern hemisphere trigger mechanism, contrary to previous suggestions. Our findings thus further emphasise the role of the thermohaline circulation in millennial scale climate variability. (C) 2002 Elsevier Science Ltd. All rights reserved.</t>
  </si>
  <si>
    <t>Max Planck Inst Biogeochem, D-07701 Jena, Germany; Univ Victoria, Sch Earth &amp; Ocean Sci, Victoria, BC V8W 3P6, Canada</t>
  </si>
  <si>
    <t>Max Planck Society; University of Victoria</t>
  </si>
  <si>
    <t>Max Planck Inst Biogeochem, POB 100164, D-07701 Jena, Germany.</t>
  </si>
  <si>
    <t>andreas.schmittner@bgc-jena.mpg.de</t>
  </si>
  <si>
    <t>Weaver, Andrew J/E-7590-2011; Schmittner, Andreas/A-3101-2008; Schmittner, Andreas/O-9647-2015</t>
  </si>
  <si>
    <t>Weaver, Andrew J/0000-0001-8919-3598; Schmittner, Andreas/0000-0002-8376-0843</t>
  </si>
  <si>
    <t>5-7</t>
  </si>
  <si>
    <t>PII S0277-3791(02)00184-1</t>
  </si>
  <si>
    <t>10.1016/S0277-3791(02)00184-1</t>
  </si>
  <si>
    <t>659TM</t>
  </si>
  <si>
    <t>WOS:000181793600015</t>
  </si>
  <si>
    <t>Siegert, MJ</t>
  </si>
  <si>
    <t>Glacial-interglacial variations in central East Antarctic ice accumulation rates</t>
  </si>
  <si>
    <t>LAKE VOSTOK; DOME-C; CORE; CHRONOLOGY; DEPTH; AGE</t>
  </si>
  <si>
    <t>Past rates of ice accumulation in central East Antarctica are defined poorly for the Last Glacial period. Ice cores, from which current estimates are based, are limited in number (there is one deep ice core at Vostok Station, one at Dome F and two others currently being extracted at Dome C and Dronning Maud Land), and are restricted spatially (they are one-dimensional). Here, spatial variations in ice accumulation rates during the Last Glacial are calculated from isochronous internal ice sheet layering, measured by airborne ice penetrating radar data. The layers are used to identify the stratigraphy around five East Antarctic ice domes. Isochrons are dated by linking them to the Vostok ice core and, in one case, the EPICA Dome C ice core. This chronostratigraphy allows the depth-age function to be identified across the ice sheet. A simple ice flow model, using the depth-age measurements as input, is then used to determine the spatial and temporal variation in East Antarctic ice accumulation over the Last Glacial cycle. The lowest rates of ice accumulation were predicted in the full glacial period to the south of Dome A and Ridge B. There are two possible explanations for this: (1) the ice divide topographies may have caused a 'precipitation shadow' in the ice age; (2) with the expansion of the Ross ice shelf the area to the south of Dome A and Ridge B would be at the very centre of the ice sheet and, hence, at a maximum distance from the ocean moisture source. (C) 2002 Elsevier Science Ltd. All rights reserved.</t>
  </si>
  <si>
    <t>Univ Bristol, Sch Geog Sci, Bristol Glaciol Ctr, Bristol BS8 1SS, Avon, England</t>
  </si>
  <si>
    <t>Siegert, Martin/M-9939-2019; Siegert, Martin J/A-3826-2008</t>
  </si>
  <si>
    <t>Siegert, Martin/0000-0002-0090-4806; Siegert, Martin J/0000-0002-0090-4806</t>
  </si>
  <si>
    <t>PII S0277-3791(02)00191-9</t>
  </si>
  <si>
    <t>10.1016/S0277-3791(02)00191-9</t>
  </si>
  <si>
    <t>WOS:000181793600020</t>
  </si>
  <si>
    <t>Jackson, TP; van Aarde, RJ</t>
  </si>
  <si>
    <t>Advances in vertebrate pest control: implications for the control of feral house mice on Marion Island</t>
  </si>
  <si>
    <t>CAPILLARIA-HEPATICA NEMATODA; VIRUS-VECTORED IMMUNOCONTRACEPTION; RABBITS ORYCTOLAGUS-CUNICULUS; RECOMBINANT MYXOMA VIRUS; SUB-ANTARCTIC MARION; WHITE-TAILED DEER; RATTUS-TIOMANICUS POPULATIONS; MARK-RECAPTURE ANALYSIS; ZONA-PELLUCIDA PROTEIN; WILD MOUSE-POPULATIONS</t>
  </si>
  <si>
    <t>We review the options and technologies available to eradicate exotic mammals, especially rodents, from various habitats but in particular from islands. We also recommend possible measures against the house mouse population of Marion Island.</t>
  </si>
  <si>
    <t>Univ Pretoria, Dept Zool &amp; Entomol, Conservat Ecol Res Unit, ZA-0002 Pretoria, South Africa</t>
  </si>
  <si>
    <t>University of Pretoria</t>
  </si>
  <si>
    <t>Univ Pretoria, Dept Zool &amp; Entomol, Conservat Ecol Res Unit, ZA-0002 Pretoria, South Africa.</t>
  </si>
  <si>
    <t>tjackson@zoology.up.ac.za</t>
  </si>
  <si>
    <t>1996-7489</t>
  </si>
  <si>
    <t>692RX</t>
  </si>
  <si>
    <t>WOS:000183675000008</t>
  </si>
  <si>
    <t>Ambrose, DP; Reimold, WU; Buchanan, PC</t>
  </si>
  <si>
    <t>The Thuathe meteorite of 21 July 2002, Lesotho: mapping the strewn field and initial mineralogical classification</t>
  </si>
  <si>
    <t>ORDINARY CHONDRITES</t>
  </si>
  <si>
    <t>This article provides a first report of the fall of a meteorite over the Thuathe plateau of western Lesotho, approximately 9 km east of the capital Maseru, on 21 July 2002. The strewn field has been mapped, and the characteristics of stones recovered from various sectors in the strewn field are compared. Initial mineralogical investigations have established that this new meteorite is an H type ordinary chondrite, of petrologic type 4/5, and shock degree S2-S3. The name Thuathe has been accepted by the Nomenclature Committee of the Meteoritical Society for this new fall, as the major part of the strewn field extends over the Thuathe plateau. We believe that Thuathe is the first meteorite recovered from Lesotho.</t>
  </si>
  <si>
    <t>Univ Witwatersrand, Sch Geosci, Impact Cratering Res Grp, ZA-2050 Wits, South Africa; Natl Univ Lesotho, Inst Educ, Roma 180, Lesotho; Natl Inst Polar Res, Antarctic Meteorite Res Ctr, Itabashi Ku, Tokyo 1738515, Japan</t>
  </si>
  <si>
    <t>University of Witwatersrand; Research Organization of Information &amp; Systems (ROIS); National Institute of Polar Research (NIPR) - Japan</t>
  </si>
  <si>
    <t>Reimold, WU (corresponding author), Univ Witwatersrand, Sch Geosci, Impact Cratering Res Grp, Private Bag 3, ZA-2050 Wits, South Africa.</t>
  </si>
  <si>
    <t>Buchanan, Paul/0000-0003-1648-6079; Hauser, Natalia/0000-0002-6975-6186</t>
  </si>
  <si>
    <t>WOS:000183675000011</t>
  </si>
  <si>
    <t>Lutjeharms, JRE; Fillis, CS</t>
  </si>
  <si>
    <t>Intrusions of sub-Antarctic water across the Subtropical Convergence south of Africa</t>
  </si>
  <si>
    <t>AGULHAS CURRENT; ATLANTIC; BENGUELA; RETROFLECTION; CIRCULATION; EXCHANGE; REGION; IMPACT</t>
  </si>
  <si>
    <t>The contents of the Cape Basin of the South Atlantic Ocean, southwest of Cape Town, is a melange of water types from a number of different sources. One of the least studied of these water types comes from intrusions of sub-Antarctic water that are associated with the spawning of Agulhas rings. An analysis of a variety of data on the region shows that these intrusions originate along a latitude of 40degreesS, but only between longitudes of 8degrees and 22degreesE. In extreme cases they can extend equatorward beyond the southern tip of Africa. Intrusions take place at least five times per year. Their distinct surface expressions are shown to be but outcrops of water masses that usually are found at greater depths. These vertical perturbations may extend to depths exceeding 1500 m.</t>
  </si>
  <si>
    <t>Univ Cape Town, Dept Oceanog, ZA-7701 Rondebosch, South Africa</t>
  </si>
  <si>
    <t>University of Cape Town</t>
  </si>
  <si>
    <t>Lutjeharms, JRE (corresponding author), Univ Cape Town, Dept Oceanog, Private Bag, ZA-7701 Rondebosch, South Africa.</t>
  </si>
  <si>
    <t>WOS:000183675000015</t>
  </si>
  <si>
    <t>Nel, W; Holness, S; Meiklejohn, KI</t>
  </si>
  <si>
    <t>Observations on rapid mass movement and screes on Sub-Antarctic Marion Island</t>
  </si>
  <si>
    <t>Translational and rotational slides, together with debris flows, constitute the predominant contemporary rapid mass movement features in peat areas that overly grey and black basaltic lava on Maritime Sub-Antarctic Marion Island. Rapid mass movements on peat slopes frequently take place in low altitude areas (&lt;350 m a.s.l.) and appear to be the major factor of slope development in vegetated areas on Marion Island. Relict screes are present in grey lava areas where high free faces provided the source for slope debris material and findings suggest that major scree production occurred during a period of more intensive periglacial activity than present; in the Feldmark Plateau area findings suggest an ice-free period longer than has previously been proposed for Marion Island.</t>
  </si>
  <si>
    <t>Univ Pretoria, Dept Geog Geoinformat &amp; Meteorol, ZA-0002 Pretoria, South Africa; Univ Western Cape, Dept Earth Sci, ZA-7535 Bellville, South Africa</t>
  </si>
  <si>
    <t>University of Pretoria; University of the Western Cape</t>
  </si>
  <si>
    <t>Meiklejohn, KI (corresponding author), Univ Pretoria, Dept Geog Geoinformat &amp; Meteorol, ZA-0002 Pretoria, South Africa.</t>
  </si>
  <si>
    <t>Meiklejohn, Ian/A-1482-2008; Meiklejohn, Ian/F-3183-2012</t>
  </si>
  <si>
    <t>Meiklejohn, Ian/0000-0001-8890-2938; Nel, Werner/0000-0002-3769-4937</t>
  </si>
  <si>
    <t>WOS:000183675000016</t>
  </si>
  <si>
    <t>Cho, JC; Giovannoni, SJ</t>
  </si>
  <si>
    <t>Croceibacter atlanticus gen. nov., sp nov., a novel marine bacterium in the family Flavobacteriaceae</t>
  </si>
  <si>
    <t>SYSTEMATIC AND APPLIED MICROBIOLOGY</t>
  </si>
  <si>
    <t>Croceibacter atlanticus; the family Flavobacteriaceae; seawater; 16S rRNA; polyphasic taxonomy; high throughput culturing</t>
  </si>
  <si>
    <t>CYTOPHAGA-ULIGINOSA ZOBELL; 1944 REICHENBACH 1989; IN-SITU HYBRIDIZATION; ANTARCTIC SEA-ICE; COMB. NOV; PSYCHROPHILIC BACTERIA; NORTH-SEA; RECLASSIFICATION; BACTERIOPLANKTON; DIVERSITY</t>
  </si>
  <si>
    <t>A bright, saffron-colored marine bacterium HTCC2559(T) was isolated from the Bermuda Atlantic Time Series station in the western Sargasso Sea, Atlantic Ocean by high throughput Culturing methods and characterized by polyphasic approaches. Phenotypic data and phylogenetic analyses showed that the strain is a member of the family Flavobacteriaceae. The strain was Gram-negative, non-motile, chemoheterotrophic, strictly aerobic, NaCl-requiring, rod-shaped cells that contain carotenoid pigments but not flexirubin. Several kinds of macromolecules (gelatin, DNA, starch, casein, and elastin) were degraded and carbohydrates, sugar alcohols, organic acids, and amino acids were utilized as sole carbon Sources. The dominant fatty acids were branched or hydroxy acids, and 3-OH i17:0, i15:0, i15: 1, and i17:1 omega9c were abundant. The DNA G+C content of the strain is 34.8 mol%. Phylogenetic analyses using three treeing algorithms based on 16S rRNA gene sequences revealed that the strain formed a very distinct lineage that is allied closely with several seawater environmental clones in the family Flavobacteriaceae. Therefore, it is proposed from the polyphasic studies that strain HTCC2559(T) (=ATCC BAA-628(T) = KCTC 12090(T)) belongs to a new genus and species named Croceibacter atlanticus gen. nov., sp. nov.</t>
  </si>
  <si>
    <t>Oregon State Univ, Dept Microbiol, Corvallis, OR 97331 USA</t>
  </si>
  <si>
    <t>Oregon State University</t>
  </si>
  <si>
    <t>Giovannoni, SJ (corresponding author), Oregon State Univ, Dept Microbiol, Corvallis, OR 97331 USA.</t>
  </si>
  <si>
    <t>Cho, Jang-Cheon/B-4676-2013</t>
  </si>
  <si>
    <t>Cho, Jang-Cheon/0000-0002-0666-3791</t>
  </si>
  <si>
    <t>URBAN &amp; FISCHER VERLAG</t>
  </si>
  <si>
    <t>BRANCH OFFICE JENA, P O BOX 100537, D-07705 JENA, GERMANY</t>
  </si>
  <si>
    <t>0723-2020</t>
  </si>
  <si>
    <t>SYST APPL MICROBIOL</t>
  </si>
  <si>
    <t>Syst. Appl. Microbiol.</t>
  </si>
  <si>
    <t>10.1078/072320203322337344</t>
  </si>
  <si>
    <t>678EH</t>
  </si>
  <si>
    <t>WOS:000182851700010</t>
  </si>
  <si>
    <t>Berne, S; Sepcic, K; Krizaj, I; Kem, WR; McClintock, JB; Turk, T</t>
  </si>
  <si>
    <t>Isolation and characterisation of a cytolytic protein from mucus secretions of the Antarctic heteronemertine Parborlasia corrugatus</t>
  </si>
  <si>
    <t>TOXICON</t>
  </si>
  <si>
    <t>cytolysin; isotoxins; nemertine; Parborlasia corrugatus; amino acid sequence; hemolysis</t>
  </si>
  <si>
    <t>TOXIN-A-III; POLYPEPTIDE TOXINS; B-IV; CEREBRATULUS; EQUINATOXIN; ANABASEINE; RECEPTORS</t>
  </si>
  <si>
    <t>From freeze dried mucus of the Antarctic nemertine Parborlasia corrugatus we have isolated 10.3 kDa basic (pI &gt; 9.0) cytolytic protein, referred to as parborlysin. Although the purified protein sample was homogeneous by reversed phase HPLC chromatography profiles and several gel electrophoretic techniques, N-terminal sequence and mass spectrometric analyses revealed that it consisted of few very similar isotoxins. The N-terminal sequence of the parborlysin sample shows a high degree of homology with the sequence of cytolysin A-III from the heteronemertine Cerebratulus lacteus. Parborlysin in micromolar concentration range disrupts mammalian erythrocytes with an apparent detergent mode of action. Hemolytic activity was inhibited by preincubation of parborlysin with pure phosphatidic acid or with rather high concentrations of small unilamellar vesicles composed of phosphatidylcholine (PC)/phosphatidyglycerol, PC/phosphatidylinositol, and PC/phosphatidylserine. Osmotic protectants as large as 3000 Da failed to protect red cells from lysis induced by parborlysin. Further structural and pharmacological analysis of the heteronemertine cytolysins may provide new insights regarding the mechanisms by which some water soluble proteins are able to penetrate into lipid membranes and form pores or, acting as detergents, disrupt their normal structure and function. (C) 2003 Elsevier Science Ltd. All rights reserved.</t>
  </si>
  <si>
    <t>Univ Ljubljana, Biotechn Fac, Dept Biol, Ljubljana 1000, Slovenia; Univ Ljubljana, Jozef Stefan Inst, Dept Biochem &amp; Mol Biol, Ljubljana 1000, Slovenia; Univ Florida, Coll Med, Dept Pharmacol &amp; Therapeut, Gainesville, FL 32610 USA; Univ Alabama, Dept Biol, Birmingham, AL 35294 USA</t>
  </si>
  <si>
    <t>University of Ljubljana; University of Ljubljana; Slovenian Academy of Sciences &amp; Arts (SASA); Jozef Stefan Institute; State University System of Florida; University of Florida; University of Alabama System; University of Alabama Birmingham</t>
  </si>
  <si>
    <t>Turk, T (corresponding author), Univ Ljubljana, Biotechn Fac, Dept Biol, Ljubljana 1000, Slovenia.</t>
  </si>
  <si>
    <t>Sepcic, Kristina/S-5533-2018; Berne, Sabina/A-2206-2016</t>
  </si>
  <si>
    <t>Berne, Sabina/0000-0002-0441-4142; Krizaj, Igor/0000-0003-0203-0708</t>
  </si>
  <si>
    <t>0041-0101</t>
  </si>
  <si>
    <t>Toxicon</t>
  </si>
  <si>
    <t>10.1016/S0041-0101(02)00386-0</t>
  </si>
  <si>
    <t>Pharmacology &amp; Pharmacy; Toxicology</t>
  </si>
  <si>
    <t>668TB</t>
  </si>
  <si>
    <t>WOS:000182308300010</t>
  </si>
  <si>
    <t>Dobson, FS; Jouventin, P</t>
  </si>
  <si>
    <t>How mothers find their pups in a colony of Antarctic fur seals</t>
  </si>
  <si>
    <t>BEHAVIOURAL PROCESSES</t>
  </si>
  <si>
    <t>Arctocephalus; colonial breeding; kin recognition; misdirected parental care; olfactory communication; rendezvous; vocal communication</t>
  </si>
  <si>
    <t>KIN RECOGNITION; VOCAL RECOGNITION; ARCTOCEPHALUS-AUSTRALIS; INDIVIDUAL RECOGNITION; VOCALIZATIONS; MECHANISMS; GAZELLA; SYSTEM; PARENT; ODORS</t>
  </si>
  <si>
    <t>In Antarctic fur seals, Arctocephalus gazella, mothers must identify their own young among hundreds or even thousands of pups, if they are to invest in their own offspring and avoid misdirecting their parental care. When returning to their breeding colony from a foraging trip of several days at sea, mothers have to find and identify their young before suckling can occur. There appears to be little confusion about which pup belongs to a mother, and adoption is absent or rare. Using behavioral observations, we investigated the means by which female Antarctic fur seals identified their pups in a breeding colony of about 750 mother-pup pairs on Kerguelen Island. We evaluated the importance of vision, scent communication, vocalizations, and rendezvous locations as possible explanations of how mothers find their pups. Every pup that a mother examined, whether her own or not, exchanged naso-nasal inspection with her, suggesting a strong role for olfactory communication in individual recognition. Both mothers and pups called to each other, and mothers that searched for pups over a longer period gave more calls and encountered more pups. Thus, vocalizations may have been used to attract pups that might be offspring. Nursing usually occurred in the same place from the end of one maternal visit to the colony and the arrival at the beginning of the next visit, suggesting that nursing locations may serve as a meeting place, or rendezvous, for mothers and pups. These results suggest that finding pups is a two-stage process for females, in which pups for sampling are attracted by calls or examined at the previous nursing location, and then individual identification is made by olfactory cues. (C) 2002 Elsevier Science B.V. All rights reserved.</t>
  </si>
  <si>
    <t>Auburn Univ, Dept Biol Sci, Auburn, AL 36849 USA; CNRS, Ctr Ecol Fonct &amp; Evolut, UPR 9056, F-34293 Montpellier 5, France</t>
  </si>
  <si>
    <t>Auburn University System; Auburn University; Universite PSL; Ecole Pratique des Hautes Etudes (EPHE); Institut Agro; Montpellier SupAgro; CIRAD; Centre National de la Recherche Scientifique (CNRS); Institut de Recherche pour le Developpement (IRD); Universite Paul-Valery; Universite de Montpellier</t>
  </si>
  <si>
    <t>Dobson, FS (corresponding author), Auburn Univ, Dept Biol Sci, Auburn, AL 36849 USA.</t>
  </si>
  <si>
    <t>Dobson, F. Stephen/R-7310-2019</t>
  </si>
  <si>
    <t>Dobson, F. Stephen/0000-0001-5562-6316</t>
  </si>
  <si>
    <t>0376-6357</t>
  </si>
  <si>
    <t>BEHAV PROCESS</t>
  </si>
  <si>
    <t>Behav. Processes</t>
  </si>
  <si>
    <t>FEB 28</t>
  </si>
  <si>
    <t>PII S0376-6357(02)00164-X</t>
  </si>
  <si>
    <t>10.1016/S0376-6357(02)00164-X</t>
  </si>
  <si>
    <t>Psychology, Biological; Behavioral Sciences; Zoology</t>
  </si>
  <si>
    <t>Psychology; Behavioral Sciences; Zoology</t>
  </si>
  <si>
    <t>643ZC</t>
  </si>
  <si>
    <t>WOS:000180892600008</t>
  </si>
  <si>
    <t>Colussi, AJ; Hoffmann, MR</t>
  </si>
  <si>
    <t>In situ photolysis of deep ice core contaminants by Cerenkov radiation of cosmic origin</t>
  </si>
  <si>
    <t>DISSOLVED ORGANIC-MATTER; GREENLAND ICE; ANTARCTIC ICE; OPTICAL-PROPERTIES; LAST MILLENNIUM; ATMOSPHERIC CO2; CARBON-MONOXIDE; QUANTUM YIELD; POLAR ICE; SNOW</t>
  </si>
  <si>
    <t>[1] Ice core contaminants should provide permanent paleoclimatic records if, as it is generally assumed, they remained frozen in place and isolated from sunlight by the reflective overlaying snow layers. The excess CO levels recently detected in 1100-1600 AD Greenland ice core air bubbles relative to their Antarctic counterparts [Haan and Raynaud, 1998] amount, however, to an average production of about 5 +/- 2 CO molecules cm(-3) ice s(-1) in that period. Here we show that such rates are quantitatively consistent with the in situ photodecarbonylation of the chromophoric organic matter present in Greenland, but not in the cleaner Antarctic, ice under the Cerenkov radiation fluxes generated by penetrating muons of cosmic origin. The normal CO levels of modern (1600-1800 AD) Greenland records, and their variability earlier in the last millennium correlate significantly with the occurrence of boreal fires and the associated release of organic aerosol [Savarino and Legrand, 1998].</t>
  </si>
  <si>
    <t>CALTECH, WM Keck Labs, Pasadena, CA 91125 USA</t>
  </si>
  <si>
    <t>California Institute of Technology</t>
  </si>
  <si>
    <t>Colussi, AJ (corresponding author), CALTECH, WM Keck Labs, Pasadena, CA 91125 USA.</t>
  </si>
  <si>
    <t>Colussi, Agustin J./GXA-0446-2022; Colussi, Agustin J/C-6520-2008</t>
  </si>
  <si>
    <t>10.1029/2002GL016112</t>
  </si>
  <si>
    <t>664NN</t>
  </si>
  <si>
    <t>WOS:000182067300004</t>
  </si>
  <si>
    <t>Van Petegem, F; Collins, T; Meuwis, MA; Gerday, C; Feller, G; Van Beeumen, J</t>
  </si>
  <si>
    <t>The structure of a cold-adapted family 8 xylanase at 1.3 Å resolution -: Structural adaptations to cold and investigation of the active site</t>
  </si>
  <si>
    <t>CRYSTAL-STRUCTURE; 3-DIMENSIONAL STRUCTURE; CITRATE SYNTHASE; ENZYMES; SEQUENCE; MUTAGENESIS; MOLSCRIPT; INSIGHTS; PROGRAM; COMPLEX</t>
  </si>
  <si>
    <t>Enzymes from psychrophilic organisms differ from their mesophilic counterparts in having a lower thermo-stability and a higher specific activity at low and moderate temperatures. The current consensus is that they have an increased flexibility, enhancing accommodation and transformation of the substrates at low energy costs. Here we describe the structure of the xylanase from the Antarctic bacterium Pseudoalteromonas haloplanktis at 1.3 Angstrom resolution. Xylanases are usually grouped into glycosyl hydrolase families 10 and 11, but this enzyme belongs to family 8. The fold differs from that of other known xylanases and can be described as an (alpha/alpha)(6) barrel. Various parameters that may explain the cold-adapted properties were examined and indicated that the protein has a reduced number of salt bridges and an increased exposure of hydrophobic residues. The crystal structures of a complex with xylobiose and of mutant D144N were obtained at 1.2 and 1.5 A resolution, respectively. Analysis of the various substrate binding sites shows that the +3 and -3 subsites are rearranged as compared to those of a family 8 homolog, while the xylobiose complex suggests the existence of a +4 subsite. A decreased acidity of the substrate binding cleft and an increased flexibility of aromatic residues lining the subsites may enhance the rate at which substrate is bound.</t>
  </si>
  <si>
    <t>Univ Ghent, Lab Eiwitbiochem Eiwitengineering, B-9000 Ghent, Belgium; Univ Liege, Inst Chem, Biochim Lab, B-4000 Liege, Belgium</t>
  </si>
  <si>
    <t>Ghent University; University of Liege</t>
  </si>
  <si>
    <t>Univ Ghent, Lab Eiwitbiochem Eiwitengineering, Ledeganckstr 35, B-9000 Ghent, Belgium.</t>
  </si>
  <si>
    <t>Jozef.Van-Beeumen@rug.ae.be</t>
  </si>
  <si>
    <t>Collins, Tony/A-3484-2012; Van petegem, Filip/M-6061-2016</t>
  </si>
  <si>
    <t>Collins, Tony/0000-0002-4167-973X; Van petegem, Filip/0000-0003-2728-8537</t>
  </si>
  <si>
    <t>10.1074/jbc.M206862200</t>
  </si>
  <si>
    <t>649EZ</t>
  </si>
  <si>
    <t>hybrid, Green Published</t>
  </si>
  <si>
    <t>WOS:000181195100115</t>
  </si>
  <si>
    <t>Cotter, ESN; Jones, AE; Wolff, EW; Bauguitte, SJB</t>
  </si>
  <si>
    <t>What controls photochemical NO and NO2 production from Antarctic snow?: Laboratory investigation assessing the wavelength and temperature dependence -: art. no. 4147</t>
  </si>
  <si>
    <t>snow photochemistry; nitrate photolysis; NOx production</t>
  </si>
  <si>
    <t>ATMOSPHERIC IMPLICATIONS; BOUNDARY-LAYER; QUANTUM YIELDS; SOUTH-POLE; ICE CORES; GREENLAND; NITRATE; PHOTOLYSIS; SUMMIT; HNO3</t>
  </si>
  <si>
    <t>[1] Laboratory experiments were conducted to determine the wavelength and temperature dependence of NO and NO2 release from Antarctic snow. This photochemically driven process has been observed during recent field measurements in polar regions. In this work the photochemical production of NO and NO2 was reproduced under laboratory conditions with NO2 dominating the production. The wavelength of incident light was varied over the range 295-385 nm. We observed a lambda dependence where NO and NO2 release ceases when the snow was illuminated with lambda &gt; 345 nm. Comparing these data with the aqueous absorption cross section of the nitrate ion (NO3-) indicates that NO3- is the precursor N-oxide species, which is photolyzed in snow. The temperature of the experimental system was varied over the range 253-243 K with no effect on NO and NO2 production. The occurrence of these photochemical processes followed by release to the atmosphere will impact the chemistry of the boundary layer over any snow-covered region. In addition, understanding these processes is essential for accurate ice core interpretation.</t>
  </si>
  <si>
    <t>ecot@bas.ac.uk; aejo@bas.ac.uk; ewwo@bas.ac.uk; sbau@bas.ac.uk</t>
  </si>
  <si>
    <t>D4</t>
  </si>
  <si>
    <t>10.1029/2002JD002602</t>
  </si>
  <si>
    <t>664PJ</t>
  </si>
  <si>
    <t>WOS:000182069200010</t>
  </si>
  <si>
    <t>Liu, JP; Schmidt, GA; Martinson, DG; Rind, D; Russell, G; Yuan, XJ</t>
  </si>
  <si>
    <t>Sensitivity of sea ice to physical parameterizations in the GISS global climate model</t>
  </si>
  <si>
    <t>sea ice sensitivity to physical parameterizations</t>
  </si>
  <si>
    <t>OCEAN CIRCULATION MODELS; MESOSCALE TRACER TRANSPORTS; ARCTIC-OCEAN; FRESH-WATER; THICKNESS; SIMULATIONS; VARIABILITY; DYNAMICS; LAYER; CO2</t>
  </si>
  <si>
    <t>[1] The GISS coupled model is used to investigate the sensitivity of sea ice to each of the following parameterizations: (1) two sea ice dynamics (CF: cavitating fluid; VP: viscous-plastic), (2) the specification of oceanic isopycnal mixing coefficients in the Gent and McWillams isopyncal mixing (GM), and (3) the wajsowicz viscosity diffusion (WV). The large-scale sea ice properties are highly sensitive to sea ice dynamics. With the inclusion of resistance to shear stress, VP captures the major observed sea ice drift features and improves the simulations of sea ice concentrations, thickness, and export through Fram Strait relative to CF. GM significantly improves the simulation of vertical temperature distributions in the Southern Ocean, although it leads to a dramatic reduction of Antarctic sea ice cover. The reduced oceanic isopycnal mixing coefficients lead to Arctic sea ice that tends to be less and thinner in almost the entire Arctic except in the North Pacific and Labrador Sea, while Antarctic sea ice that extends more equatorward throughout the circumpolar regions. The responses of sea ice to WV show an enlargement and thickening of sea ice in the Arctic, within the ice packs around the Antarctic and a reduction and thinning of sea ice in the northernWeddell and Ross Seas. On the basis of these experiments, two composite experiments with the best parameterizations are investigated. The atmospheric responses associated with sea ice changes are discussed. While improvements are seen, there are still many unrealistic aspects that will require further improvements to sea ice and ocean components.</t>
  </si>
  <si>
    <t>NASA, Goddard Space Flight Ctr, Inst Space Studies, New York, NY 10025 USA; Columbia Univ, Lamont Doherty Earth Observ, Palisades, NY 10964 USA; Columbia Univ, Dept Earth &amp; Environm Sci, Palisades, NY USA; Columbia Univ, Ctr Climate Syst Res, New York, NY USA</t>
  </si>
  <si>
    <t>National Aeronautics &amp; Space Administration (NASA); NASA Goddard Space Flight Center; Columbia University; Columbia University; Columbia University</t>
  </si>
  <si>
    <t>NASA, Goddard Space Flight Ctr, Inst Space Studies, New York, NY 10025 USA.</t>
  </si>
  <si>
    <t>jliu@giss.nasa.gov; gschmidt@giss.nasa.gov; dgm@ldeo.columbia.edu; drind@giss.nasa.gov; grussell@giss.nasa.gov</t>
  </si>
  <si>
    <t>LIU, JIPING/N-6696-2016; Yuan, Xiaojun/AAI-7770-2020; Schmidt, Gavin/D-4427-2012</t>
  </si>
  <si>
    <t>Schmidt, Gavin/0000-0002-2258-0486; Russell, Gary/0000-0001-7174-5825; Yuan, Xiaojun/0000-0002-6530-1619</t>
  </si>
  <si>
    <t>FEB 27</t>
  </si>
  <si>
    <t>C2</t>
  </si>
  <si>
    <t>10.1029/2001JC001167</t>
  </si>
  <si>
    <t>664QU</t>
  </si>
  <si>
    <t>WOS:000182072400002</t>
  </si>
  <si>
    <t>Wright, DM; Davies, JA; Yeoman, TK; Robinson, TR; Cash, SR; Kolesnikova, E; Lester, M; Chapman, PJ; Strangeway, RJ; Horne, RB; Rietveld, MT; Carlson, CW</t>
  </si>
  <si>
    <t>Detection of artificially generated ULF waves by the FAST spacecraft and its application to the ''tagging'' of narrow flux tubes</t>
  </si>
  <si>
    <t>high power RF heating; ULF waves; FAST spacecraft; ionospheric Alfven resonator</t>
  </si>
  <si>
    <t>IONOSPHERIC MODIFICATION EXPERIMENTS; AURORAL ELECTROJET; EISCAT; CONDUCTANCES; HEATER; TROMSO; RADAR; EXCITATION; SATELLITE; CURRENTS</t>
  </si>
  <si>
    <t>[1] Recently, Robinson et al. [2000] presented a brief report on the artificial generation of ULF waves by high power ionospheric modification and their subsequent detection by the Fast Auroral Snapshot ( FAST) spacecraft. The radio frequency heating'' facility at Tromso was employed to impose a 3-Hz modulation on the current system that constitutes the auroral electrojet, resulting in the injection of field-guided ULF waves into the magnetosphere. The electric and magnetic field signatures of the waves were detected directly by the FAST spacecraft. Furthermore, a signature in the downgoing field-aligned electron flux, also observed by the satellite, was postulated to have resulted from the interaction of the ULF waves with the upper boundary of the ionospheric Alfven resonator. This paper evaluates these results in the context of the prevailing ionospheric conditions during the experiment and discusses the significance of the substorm activity, which occurred during this interval. The technique of artificial ULF wave injection, which can be used to tag'' narrow flux tubes, could play an important part in overcoming mapping issues between ground-based and space-based observations of phenomena that couple the ionosphere and magnetosphere.</t>
  </si>
  <si>
    <t>Univ Leicester, Dept Phys &amp; Astron, Leicester LE1 7RH, Leics, England; Univ Calif Los Angeles, Los Angeles, CA 90024 USA; British Antarctic Survey, Cambridge CB3 0ET, England; EISCAT, N-9027 Ramfjordbotn, Norway; Max Planck Inst Aeron, Katlenburg Lindau, Germany; Univ Calif Berkeley, Berkeley, CA 94720 USA</t>
  </si>
  <si>
    <t>University of Leicester; University of California System; University of California Los Angeles; UK Research &amp; Innovation (UKRI); Natural Environment Research Council (NERC); NERC British Antarctic Survey; Max Planck Society; University of California System; University of California Berkeley</t>
  </si>
  <si>
    <t>Univ Leicester, Dept Phys &amp; Astron, Univ Rd, Leicester LE1 7RH, Leics, England.</t>
  </si>
  <si>
    <t>Darren.Wright@ion.le.ac.uk</t>
  </si>
  <si>
    <t>Horne, Richard B/U-3764-2019; Yeoman, Timothy k/L-9105-2014; Hebden, Sophie/JAO-0095-2023; Hebden, Sophie/AAB-4517-2020</t>
  </si>
  <si>
    <t>Horne, Richard B/0000-0002-0412-6407; Yeoman, Timothy k/0000-0002-8434-4825; Hebden, Sophie/0000-0003-1787-1649</t>
  </si>
  <si>
    <t>FEB 26</t>
  </si>
  <si>
    <t>A2</t>
  </si>
  <si>
    <t>10.1029/2002JA009483</t>
  </si>
  <si>
    <t>664TF</t>
  </si>
  <si>
    <t>WOS:000182076600004</t>
  </si>
  <si>
    <t>Bory, AJM; Biscaye, PE; Grousset, FE</t>
  </si>
  <si>
    <t>Two distinct seasonal Asian source regions for mineral dust deposited in Greenland (NorthGRIP)</t>
  </si>
  <si>
    <t>ICE CORE; TRANSPORT; CHINA; PROVENANCE; SUMMIT; EVENTS; STORMS</t>
  </si>
  <si>
    <t>A four-year, high-resolution (&lt;2 mo) record of mineralogical and isotopic (Sr and Nd) characteristics of mineral dust deposited at NorthGRIP confirms the seasonal variability in the eastern Asian source regions providing dust to northern Greenland at present. Comparison of the Sr and Nd isotopic compositions of the dust with those of potential source area samples from China and Mongolia support that the Takla Makan desert is the primary source, supplying most if not all of the mineral particles during the dusty spring season. A different source area, however, plays a role during most of year and during the low-dust season ( summer through winter) in particular. Inner Mongolian deserts of northern China, including the Tengger and the Mu Us, are likely candidates but the Mongolian Gobi is ruled out as a significant contributor to Greenland.</t>
  </si>
  <si>
    <t>British Antarctic Survey, Cambridge CB3 0ET, England; Columbia Univ, Lamont Doherty Earth Observ, Palisades, NY USA; Univ Bordeaux 1, CNRS, Unit 5805, EPOC, F-33405 Talence, France</t>
  </si>
  <si>
    <t>UK Research &amp; Innovation (UKRI); Natural Environment Research Council (NERC); NERC British Antarctic Survey; Columbia University; Universite de Bordeaux; Centre National de la Recherche Scientifique (CNRS)</t>
  </si>
  <si>
    <t>BORY, Aloys/0000-0002-0251-6372</t>
  </si>
  <si>
    <t>FEB 21</t>
  </si>
  <si>
    <t>10.1029/2002GL016446</t>
  </si>
  <si>
    <t>663AR</t>
  </si>
  <si>
    <t>WOS:000181983300004</t>
  </si>
  <si>
    <t>Kavanaugh, JL; Cuffey, KM</t>
  </si>
  <si>
    <t>Space and time variation of δ18O and δD in Antarctic precipitation revisited -: art. no. 1017</t>
  </si>
  <si>
    <t>Antarctica; Vostok; deuterium excess</t>
  </si>
  <si>
    <t>VOSTOK ICE-CORE; GENERAL-CIRCULATION MODEL; DEUTERIUM-EXCESS; STABLE-ISOTOPES; CLIMATE-CHANGE; WATER; TEMPERATURE; SIMULATIONS; O-18; GREENLAND</t>
  </si>
  <si>
    <t>To better understand the variations over time of precipitation water isotopes measured in polar ice cores, we have developed an intermediate complexity model (ICM) of atmospheric water vapor transport and associated isotopic distillation. The model builds directly from earlier work by D. Fisher and M. Hendricks and is calibrated against the measured modern spatial distribution of deltaD and deuterium excess (d). Model improvements include a correction to the equation governing advective transport, which solves a major puzzle arising from the earlier work. The new model shows isotopic data to be consistent with dominance of eddy diffusive transport at high latitudes. Model experiments are used to show that a wide variety of climate changes in subtropical source regions can affect Antarctic d and that such d changes are consistently anticorrelated with changes of deltaD. Magnitudes of DeltadeltaD/Deltad are similar to-1 to -5 and are much higher at the ice sheet margin than in the interior of the continent. Changes in the relative dominance of diffusive and advective transport are also shown to cause anticorrelated changes of similar magnitude. Isotopic sensitivities to temperature change (DeltadeltaD/DeltaT) are shown to also vary spatially, with low values in marginal zones and higher values inland. Effects of ocean surface relative humidity on Antarctic d are shown to be nearly uniform across the continent ( in contrast to earlier results given by Petit et al. [ 1991]) but quantitatively small. The method used by Vimeux et al. [ 2001] for folding humidity effects into source temperature effects is supported. We draw attention to a pervasive misapplication of marine composition corrections to Antarctic deltaD records. Arguments are made in support of simple interpretations of calibrated ice core isotopic time series in terms of temperature changes despite the potential complexities in the system.</t>
  </si>
  <si>
    <t>Univ Calif Berkeley, Dept Geog, Berkeley, CA 94720 USA</t>
  </si>
  <si>
    <t>University of California System; University of California Berkeley</t>
  </si>
  <si>
    <t>Univ Calif Berkeley, Dept Geog, 507 McCone Hall, Berkeley, CA 94720 USA.</t>
  </si>
  <si>
    <t>jeffk@seismo.berkeley.edu; kcuffey@socrates.berkeley.edu</t>
  </si>
  <si>
    <t>FEB 18</t>
  </si>
  <si>
    <t>10.1029/2002GB001910</t>
  </si>
  <si>
    <t>663AU</t>
  </si>
  <si>
    <t>WOS:000181983500002</t>
  </si>
  <si>
    <t>Dewilde, S; Angelini, E; Kiger, L; Marden, MC; Beltramini, M; Salvato, B; Moens, L</t>
  </si>
  <si>
    <t>Structure and function of the globin and globin gene from the Antarctic mollusc Yoldia eightsi</t>
  </si>
  <si>
    <t>BIOCHEMICAL JOURNAL</t>
  </si>
  <si>
    <t>gill haemoglobin; kinetics; temperature adaptation</t>
  </si>
  <si>
    <t>HEMOGLOBINS; SEQUENCES; MYOGLOBIN; BACTERIA; BIVALVE; SULFIDE; ADAPTATIONS; PHYLOGENY; SYMBIONTS; KINETICS</t>
  </si>
  <si>
    <t>The mechanism of adaptation of haemoglobin from the Antarctic mollusc Yoldia eightsi to its low-temperature environment is a decrease in the oxygen affinity via an increased ligand-dissociation rate. At 2 degreesC this haemoglobin has an oxygen affinity similar to other haemoglobins at 25 degreesC. At 25 degreesC, Yoldia haemoglobin shows a low oxygen affinity, resembling that of human deoxyhaemoglobin. The mechanism involves a lower binding energy to oxygen, suggesting a loss or weakening of the usual hydrogen bond, leading to a higher oxygen-dissociation rate. However, Yoldia haemoglobin has the usual distal and proximal histidines, so the primary structure alone does not provide an obvious explanation for the low affinity. The CO-binding kinetics are biphasic, with the fraction of slow phase increasing at higher protein concentrations, indicating the formation of dimers or a higher level of polymerization. The protein-protein interaction appears to be of hydrophobic nature, since it can be partially reversed by addition of ethylene glycol as co-solvent. While the CO-association rates differ by a factor of 10, the oxygen equilibrium data could be simulated with a single affinity. The Yoldia haemoglobin gene contains three introns, interrupting the coding region at position NA1.2, B12.2 and G7.0. The conservation of the l and G7.0 introns is in contrast with the unprecedented NA1.2 intron. Phylogenetic analyses reveal a gene tree where the Yoldia haemoglobin gene is separated from other mollusc globin genes, confirming the specific adaptation of the Yoldia haemoglobin.</t>
  </si>
  <si>
    <t>Univ Antwerp, Dept Biochem, B-2610 Antwerp, Belgium; Univ Padua, Dept Biol, I-35110 Padua, Italy; Univ Padua, CNR, Ctr Metalloprot, I-35110 Padua, Italy; INSERM U473, Le Kremlin Bicetre, France</t>
  </si>
  <si>
    <t>University of Antwerp; University of Padua; University of Padua; Consiglio Nazionale delle Ricerche (CNR); Institut National de la Sante et de la Recherche Medicale (Inserm)</t>
  </si>
  <si>
    <t>Moens, L (corresponding author), Univ Antwerp, Dept Biochem, Univ Plein 1, B-2610 Antwerp, Belgium.</t>
  </si>
  <si>
    <t>Marden, Michael/AAA-5923-2020; Kiger, Laurent/Q-1686-2018; Marden, Michael C/G-3139-2012</t>
  </si>
  <si>
    <t>Marden, Michael C/0000-0002-5254-6385</t>
  </si>
  <si>
    <t>PORTLAND PRESS</t>
  </si>
  <si>
    <t>59 PORTLAND PLACE, LONDON W1N 3AJ, ENGLAND</t>
  </si>
  <si>
    <t>0264-6021</t>
  </si>
  <si>
    <t>BIOCHEM J</t>
  </si>
  <si>
    <t>Biochem. J.</t>
  </si>
  <si>
    <t>FEB 15</t>
  </si>
  <si>
    <t>10.1042/BJ20020727</t>
  </si>
  <si>
    <t>650RE</t>
  </si>
  <si>
    <t>WOS:000181276500025</t>
  </si>
  <si>
    <t>Cutler, KB; Edwards, RL; Taylor, FW; Cheng, H; Adkins, J; Gallup, CD; Cutler, PM; Burr, GS; Bloom, AL</t>
  </si>
  <si>
    <t>Rapid sea-level fall and deep-ocean temperature change since the last interglacial period</t>
  </si>
  <si>
    <t>IONIZATION MASS-SPECTROMETRY; PORE FLUID CONSTRAINTS; WATER CARBONATE MARGIN; PAPUA-NEW-GUINEA; U-TH AGES; HUON-PENINSULA; CORAL TERRACES; NORTH-ATLANTIC; OXYGEN ISOTOPES; YOUNGER DRYAS</t>
  </si>
  <si>
    <t>We have dated Huon Peninsula, Papua New Guinea and Barbados corals that formed at times since the Last Interglacial Period, applying both Th-230 and Pa-231 dating techniques as a test of age accuracy. We show that Marine Isotope Stage (MIS) 5e ended prior to 113.1 +/- 0.7 kyr, when sea level was -19 m. During MIS 5b sea level was -57 m at 92.6 +/- 0.5 kyr, having dropped about 40 in in approximately 10 kyr during the MIS 5c-5b transition. Sea level then rose more than 40 in during the MIS 5b-5a transition, also in about 10 kyr. MIS 5a lasted until at least 76.2 +/- 0.4 kyr, at a level of -24 m at that time. Combined with earlier data that places MIS 4 sea level at -81 m at 70.8 kyr, our late MIS 5a data indicate that sea level fell almost 60 m in less than 6 kyr (10.6 m/kyr) during the MIS 5-4 transition. The magnitude of the drop is half that of the glacial-interglacial amplitude and approximately equivalent to the volume of the present-day Antarctic Ice Sheet. During this interval the minimum average rate of net continental ice accumulation was 18 cm/yr, likely facilitated by efficient moisture transport from lower latitudes. At three specific times (60.6 +/- 0.3, 50.8 +/- 0.3, and 36.8+0.2 kyr) during MIS 3, sea level was between -85 and -74 m. Sea level then dropped to -107 m at 23.7 +/- 0.1 kyr early in MIS 2, before dropping further to Last Glacial Maximum (LGM) values and then rising to present values during the last deglaciation. Times of rapid sea-level drop correspond to times of high winter insolation at low northern latitudes and high winter latitudinal gradients in northern hemisphere insolation, supporting the idea that these factors may have resulted in high water-vapor pressure in moisture sources and efficient moisture transport to high-latitude glaciers, thereby contributing to glacial buildup. We combined our sea-level results with deep-sea delta(18)O records as a means of estimating the temperature and ice-volume components in the marine delta(18)O record. This analysis confirms large deep-ocean temperature shifts following MIS 5e and during Termination I. Deep-ocean temperatures changed by much smaller amounts between MIS 5c and 2. Maximum temperature shift in the deep Pacific is about 2degrees, whereas the shift at a site in the Atlantic is 4degrees. Under glacial conditions temperatures at both sites are near the freezing point. The shift in the Atlantic is likely caused by a combination of changing proportions of northern and southern source waters as well as changing temperature at the sites where these deep waters form. (C) 2002 Elsevier Science B.V. All rights reserved.</t>
  </si>
  <si>
    <t>Univ Minnesota, Dept Geol &amp; Geophys, Minneapolis, MN 55455 USA; Univ Texas, Inst Geophys, Austin, TX 78759 USA; CALTECH, Div Geol &amp; Planetary Sci, Pasadena, CA 91125 USA; Univ Minnesota, Dept Geol Sci, Duluth, MN 55812 USA; Univ Arizona, Dept Phys, Tucson, AZ 85721 USA; Cornell Univ, Dept Earth &amp; Atmospher Sci, Ithaca, NY 14853 USA</t>
  </si>
  <si>
    <t>University of Minnesota System; University of Minnesota Twin Cities; University of Texas System; University of Texas Austin; California Institute of Technology; University of Minnesota System; University of Minnesota Duluth; University of Arizona; Cornell University</t>
  </si>
  <si>
    <t>Univ Minnesota, Dept Geol &amp; Geophys, Minneapolis, MN 55455 USA.</t>
  </si>
  <si>
    <t>edwar001@umn.edu</t>
  </si>
  <si>
    <t>Adkins, Jess/GYI-8778-2022; Taylor, Frederick/HKV-2523-2023; Taylor, Frederick/A-2195-2009; CHENG, HAI/H-3413-2017; Edwards, R. Lawrence/I-3124-2014; Edwards, Richard/JAX-3732-2023</t>
  </si>
  <si>
    <t>CHENG, HAI/0000-0002-5305-9458; Burr, George/0000-0003-0068-7589</t>
  </si>
  <si>
    <t>10.1016/S0012-821X(02)01107-X</t>
  </si>
  <si>
    <t>645PR</t>
  </si>
  <si>
    <t>WOS:000180988000002</t>
  </si>
  <si>
    <t>Ota, T; Nguyen, TA; Huang, E; Detrich, HW; Amemiya, CT</t>
  </si>
  <si>
    <t>Positive Darwinian selection operating on the immunoglobulin heavy chain of antarctic fishes</t>
  </si>
  <si>
    <t>JOURNAL OF EXPERIMENTAL ZOOLOGY PART B-MOLECULAR AND DEVELOPMENTAL EVOLUTION</t>
  </si>
  <si>
    <t>RNA PROCESSING PATHWAYS; COLD ADAPTATION; MESSENGER-RNA; ANTIFREEZE GLYCOPEPTIDES; GENE FAMILY; EVOLUTION; SEQUENCE; NUCLEOTIDE; ICEFISHES; PROTEINS</t>
  </si>
  <si>
    <t>The cooling of the Southern Ocean to the freezing point of seawater (-1.9degreesC) over the past 25 million years played a dominant selective role in the evolution of the Antarctic fish fauna. During this period, the perciform suborder Notothenioidei, which is largely endemic to the Antarctic, diversified and developed numerous cold-adapted characters. In this report, we provide compelling evidence that the immunoglobulin heavy chain (IgH) of the notothenioid fishes has undergone adaptive selection. Two and four IgH clones were isolated, respectively, from spleen cDNA libraries prepared from the Antarctic icefish Chaenocephalus aceratus and the yellowbelly rockcod Notothenia coriiceps. The transmembrane region of the membrane form of the rockcod IgM heavy chain was located at the end of the second constant (C-H) domain, in contrast to other teleost IgMs in which the transmembrane region is located at the end of the third constant domain. Phylogenetic analyses of C-H regions revealed that rates of nonsynonymous nucleotide substitution were higher than rates of synonymous nucleotide substitution. Many of the nonsynonymous substitutions introduced charge changes, consistent with positive Darwinian selection acting to adapt the structure of the notothenioid immunoglobulins. The rates of nonsynonymous nucleotide substitutions were higher than the rates of synonymous nucleotide substitutions in complementarity determining regions of variable regions, suggesting that diversity at antigen binding sites is enhanced by genomic and/or somatic selection. Results of Southern blot hybridization experiments were consistent with a translocon type of IgH gene organization reminiscent of bony fishes and tetrapods. (C) 2003 Wiley-Liss, Inc.</t>
  </si>
  <si>
    <t>Boston Univ, Sch Med, Ctr Human Genet, Boston, MA 02118 USA; Northeastern Univ, Dept Biol, Boston, MA 02115 USA</t>
  </si>
  <si>
    <t>Boston University; Northeastern University</t>
  </si>
  <si>
    <t>Amemiya, CT (corresponding author), Virginia Mason Res Ctr, Dept Mol Genet, 1201 9th Ave, Seattle, WA 98101 USA.</t>
  </si>
  <si>
    <t>Nguyen, Thuy-Ai/Q-4082-2019</t>
  </si>
  <si>
    <t>Ota, Tatsuya/0000-0002-1115-5169; Nguyen, Thuy-Ai/0000-0001-8778-0078</t>
  </si>
  <si>
    <t>NCRR NIH HHS [R24 RR14085] Funding Source: Medline</t>
  </si>
  <si>
    <t>0022-104X</t>
  </si>
  <si>
    <t>J EXP ZOOL PART B</t>
  </si>
  <si>
    <t>J. Exp. Zool. Part B</t>
  </si>
  <si>
    <t>295B</t>
  </si>
  <si>
    <t>10.1002/jez.b.00004</t>
  </si>
  <si>
    <t>Evolutionary Biology; Developmental Biology; Zoology</t>
  </si>
  <si>
    <t>670QY</t>
  </si>
  <si>
    <t>WOS:000182421300004</t>
  </si>
  <si>
    <t>Imbo, Y; De Batist, M; Canals, M; Prieto, MJ; Baraza, J</t>
  </si>
  <si>
    <t>The Gebra Slide: a submarine slide on the Trinity Peninsula Margin, Antarctica</t>
  </si>
  <si>
    <t>Gebra Slide; Antarctic Peninsula; glacial continental margin; submarine slope stability; debris flow</t>
  </si>
  <si>
    <t>TROUGH-MOUTH-FAN; NORWEGIAN-GREENLAND SEA; ICE-SHEET; CONTINENTAL-MARGIN; SEDIMENTARY PROCESSES; DEBRIS FLOW; BARENTS-SEA; SEISMIC STRATIGRAPHY; TRAENADJUPET SLIDE; BRANSFIELD STRAIT</t>
  </si>
  <si>
    <t>A large submarine slide - the Gebra Slide - has been discovered on the continental margin of Trinity Peninsula, Central Bransfield Basin, Antarctic Peninsula. The slide scar is clearly expressed in the bathymetry and is cut into the toe of the glacial-period slope-prograding strata on the lower continental slope. Seismic data give evidence of an associated debris-flow deposit embedded in the interglacial-period basin-fill strata of the basin floor. The total volume of sediment involved in the mass movement is about 20 kml. Indirect dating of the mass-wasting event, based on seismic-stratigraphic relationships of the slide scar and associated debris-flow deposit with underlying glacial-period slope units and the overlying interglacial-period basin-floor units, suggests that it took place at the transition between the last glacial period and the present-day interglacial. The initiation of the Gebra Slide is attributed to a combination of several factors, such as high sedimentation rates during the last glacial period, the unloading effect of a retreating ice sheet during deglaciation, pre-existing tectonic fabric and high seismicity in the area. This is the first recent submarine slide of this size identified on the glacial, continental margins of Antarctica. In morphology and general characteristics it is quite similar to the well-known large-scale submarine slides from the northern hemisphere glacial margins, although it is smaller. Its most striking characteristic is its lower-slope position (at 1500-2000 m of water depth), which remains up to now difficult to explain. (C) 2002 Elsevier Science B.V. All rights reserved.</t>
  </si>
  <si>
    <t>State Univ Ghent, RCMG, B-9000 Ghent, Belgium; Univ Barcelona, Consolidated Res Grp Marine Geosci, E-08007 Barcelona, Spain; CSIC, Inst Marine Sci, Consolidated Res Grp Marine Geosci, Barcelona, Spain</t>
  </si>
  <si>
    <t>Ghent University; University of Barcelona; Consejo Superior de Investigaciones Cientificas (CSIC); CSIC - Centro Mediterraneo de Investigaciones Marinas y Ambientales (CMIMA); CSIC - Instituto de Ciencias del Mar (ICM)</t>
  </si>
  <si>
    <t>Imbo, Y (corresponding author), State Univ Ghent, RCMG, B-9000 Ghent, Belgium.</t>
  </si>
  <si>
    <t>Prieto, Miguel J./L-7317-2014; De Batist, Marc/F-5722-2012; Canals, Miquel/F-4922-2013</t>
  </si>
  <si>
    <t>Prieto, Miguel J./0000-0001-9059-5519; De Batist, Marc/0000-0002-1625-2080; Canals, Miquel/0000-0001-5267-7601</t>
  </si>
  <si>
    <t>10.1016/S0025-3227(02)00664-3</t>
  </si>
  <si>
    <t>651AF</t>
  </si>
  <si>
    <t>WOS:000181296600005</t>
  </si>
  <si>
    <t>Hillenbrand, CD; Grobe, H; Diekmann, B; Kuhn, G; Fütterer, DK</t>
  </si>
  <si>
    <t>Distribution of clay minerals and proxies for productivity in surface sediments of the Bellingshausen and Amundsen seas (West Antarctica) -: Relation to modern environmental conditions</t>
  </si>
  <si>
    <t>Antarctica; continental margin; Bellingshausen Sea; clay mineralogy; productivity</t>
  </si>
  <si>
    <t>MARIE-BYRD-LAND; PACIFIC MARGIN; SOUTHERN-OCEAN; CIRCUMPOLAR CURRENT; CONTINENTAL-MARGIN; ICE-SHEET; PENINSULA; WATER; GEOCHRONOLOGY; GEOCHEMISTRY</t>
  </si>
  <si>
    <t>Surface sediments from the Antarctic continental margin in the Bellingshausen and Amundsen seas (Pacific sector of the Southern Ocean) were investigated in order to decipher their capability to record modern environmental conditions. Spatial distribution of terrigenous sand and mud reflect regional differences in current-induced redeposition of glaciogenic debris. Clay mineral assemblages in the shelf sediments are controlled by the supply of terrigenous detritus from source rocks in the adjacent hinterland suggesting the occurrence of yet unknown sedimentary rocks in the hinterland of the Amundsen Sea. Clay mineral distribution on the continental rise in the Bellingshausen Sea points to the continuation of a bottom current from the Antarctic Peninsula rise to at least 94degreesW. Foraminifer-bearing and opal-poor deposits prevail on the continental margin in the western Bellingshausen Sea and the Amundsen Sea, whereas diatom-bearing and carbonate-free sediments characterize the eastern Bellingshausen Sea. Different modes of biological production, which were deduced from accumulation rates of biogenic barium during Marine Isotope Stage 1 and recent productivity measurements, obviously control the spatial pattern of opal- and carbonate-bearing sediments in the study area. (C) 2002 Elsevier Science B.V. All rights reserved.</t>
  </si>
  <si>
    <t>Alfred Wegener Inst Polar &amp; Marine Res, D-27568 Bremerhaven, Germany; Alfred Wegener Inst Polar &amp; Marine Res, Potsdam Res Unit, D-14473 Potsdam, Germany</t>
  </si>
  <si>
    <t>Hillenbrand, CD (corresponding author), Alfred Wegener Inst Polar &amp; Marine Res, Columbusstr, D-27568 Bremerhaven, Germany.</t>
  </si>
  <si>
    <t>chillenbrand@awi-bremerhaven.de</t>
  </si>
  <si>
    <t>Diekmann, Bernhard/0000-0001-5129-3649; Grobe, Hannes/0000-0002-4133-2218; Kuhn, Gerhard/0000-0001-6069-7485</t>
  </si>
  <si>
    <t>PII S0025-3227(02)00659-X</t>
  </si>
  <si>
    <t>10.1016/S0025-3227(02)00659-X</t>
  </si>
  <si>
    <t>WOS:000181296600006</t>
  </si>
  <si>
    <t>Ashworth, AC; Kuschel, G</t>
  </si>
  <si>
    <t>Fossil weevils (Coleoptera: Curculionidae) from latitude 85°S Antarctica</t>
  </si>
  <si>
    <t>Antarctica; neogene; fossil insects; curculionidae; palaeoclimate; biogeography</t>
  </si>
  <si>
    <t>SOUTHERN-VICTORIA-LAND; MIDDLE PLIOCENE CLIMATE; MIOCENE GLACIER ICE; TRANSANTARCTIC-MOUNTAINS; SIRIUS GROUP; DRY VALLEYS; LANDSCAPE EVOLUTION; SORSDAL FORMATION; VESTFOLD HILLS; BEACON VALLEY</t>
  </si>
  <si>
    <t>Two species of fossil listroderine weevils (Coleoptera: Curculionidae: Rhytirhinini: Listroderina) are reported from the Meyer Desert Formation at a locality on the Beardmore Glacier in the Transantarctic Mountains about 500 km from the South Pole. Associated fossils include wood, leaves and pollen of Notholagus, stems and leaves of several species of mosses, achenes of Ranunculus, shells of freshwater molluscs and a fish tooth. The age of the fossiliferous strata is contentious but probably within the range of Pliocene to mid-Miocene. The fossils represent organisms that colonised the margins of a glacier at the head of a fjord during an interglaciation. The autecology of the listroderine species indicates that temperatures during summer months averaged 5degreesC. The mean annual temperature, with winter temperatures constrained by 6 months of darkness, is estimated to have been about -8degreesC compared to the -26degreesC estimated for sea level at latitude 85degreesS today. The closest evolutionary link of the fossil listroderines is with South American rather than Australian or New Zealand taxa. Divergence of the taxa, at least at the level of tribe, had most probably occurred on Gondwana before the continent broke apart. The fossil species are considered to be the descendants of Antarctic lineages which evolved on the continent in the Late Cretaceous or Palaeogene and survived until the Neogene. Extinction of the listroderines and most other Antarctic terrestrial biota occurred with the growth of the polar ice sheets and the change to the polar desert climate. (C) 2003 Elsevier Science B.V. All rights reserved.</t>
  </si>
  <si>
    <t>N Dakota State Univ, Dept Geosci, Fargo, ND 58105 USA; Landcare Res, Auckland, New Zealand</t>
  </si>
  <si>
    <t>North Dakota State University Fargo; Landcare Research - New Zealand</t>
  </si>
  <si>
    <t>Ashworth, AC (corresponding author), N Dakota State Univ, Dept Geosci, Fargo, ND 58105 USA.</t>
  </si>
  <si>
    <t>allan.ashworth@ndsu.nodak.edu</t>
  </si>
  <si>
    <t>10.1016/S0031-0182(02)00712-5</t>
  </si>
  <si>
    <t>652KQ</t>
  </si>
  <si>
    <t>WOS:000181378700005</t>
  </si>
  <si>
    <t>Nichols, DS</t>
  </si>
  <si>
    <t>Prokaryotes and the input of polyunsaturated fatty acids to the marine food web</t>
  </si>
  <si>
    <t>polyunsaturated fatty acid; Shewanella; Colwellia; deep-sea; piezophile</t>
  </si>
  <si>
    <t>ICE MICROBIAL COMMUNITIES; SEA-ICE; SP. NOV.; MCMURDO-SOUND; BAROPHILIC BACTERIUM; HIGH-PRESSURE; SEDIMENT; GROWTH; ABUNDANCE; TRENCH</t>
  </si>
  <si>
    <t>The investigation of prokaryotes in aquatic ecology is often limited to their role in nutrient cycling and the degradation of organic matter. While this aspect of the microbial loop is undoubtedly important, further aspects of bacterial roles in marine food webs exist which have not been fully considered in light of recent research in related fields. The concept of bacteria providing essential nutrients may derive importance from two aspects of their role in the marine environment; firstly as a primary food source for omnivorous, sestonivorous and filtering benthic animals and secondly as components of the commensal microbial communities of marine animals. Many marine organisms lack the de novo ability to produce n-3 polyunsaturated fatty acids (PUFA) and hence rely on a dietary supply of PUFA. The issue of PUFA origin in the marine food web is particularly salient in light of recent research demonstrating the influence of PUFA levels on the efficiency of energy transfer between trophic levels. The assumption that microalgae provide the bulk of de novo PUFA production for all marine food webs must be actively reviewed with respect to particular microbial niches such as sea ice, marine animals and abyssal communities. (C) 2003 Federation of European Microbiological Societies. Published by Elsevier Science B.V. All rights reserved.</t>
  </si>
  <si>
    <t>Univ Tasmania, Antarctic CRC, Hobart, Tas 7001, Australia; Univ Tasmania, Sch Agr Sci, Ctr Food Safety &amp; Qual, Hobart, Tas 7001, Australia</t>
  </si>
  <si>
    <t>Univ Tasmania, Antarctic CRC, GPO Box 252-80, Hobart, Tas 7001, Australia.</t>
  </si>
  <si>
    <t>d.nichols@utas.edu.au</t>
  </si>
  <si>
    <t>Nichols, David/0000-0002-8066-3132</t>
  </si>
  <si>
    <t>1574-6968</t>
  </si>
  <si>
    <t>FEB 14</t>
  </si>
  <si>
    <t>10.1016/S0378-1097(02)01200-4</t>
  </si>
  <si>
    <t>651EE</t>
  </si>
  <si>
    <t>WOS:000181306900001</t>
  </si>
  <si>
    <t>Boer, GJ; Yu, B</t>
  </si>
  <si>
    <t>Dynamical aspects of climate sensitivity</t>
  </si>
  <si>
    <t>GENERAL-CIRCULATION MODEL; GREENHOUSE-GAS; CHANGE SIMULATION; EL-NINO; 20TH-CENTURY; FEEDBACKS; RADIATION</t>
  </si>
  <si>
    <t>[1] Dynamical aspects of climate feedback/sensitivity are investigated in climate change simulations with a common atmospheric general circulation model coupled to a full ocean model, which responds both dynamically and thermodynamically, and to a mixed-layer ocean component which responds only thermodynamically. Temperature responses differ with a warmer tropics and an El Nino-like pattern in the full ocean case but not in the mixed-layer case. There is also more warming in Arctic and less in Antarctic regions. The geographical patterns of radiative feedback also differ with positive feedback in the tropical Pacific in the full ocean case contrasting with negative feedback in the mixed-layer case. Positive feedback in the tropical Pacific directly supports an El Nino-like response to positive (and a La Nina-like response to negative) radiative forcing. Radiative feedback depends implicitly on dynamical quantities and differences are a consequence of missing oceanic transport pathways in the mixed-layer ocean.</t>
  </si>
  <si>
    <t>Univ Victoria, Meteorol Serv Canada, Canadian Ctr Climate Modelling &amp; Anal, Victoria, BC V8W 2Y2, Canada</t>
  </si>
  <si>
    <t>Environment &amp; Climate Change Canada; Canadian Centre for Climate Modelling &amp; Analysis (CCCma); Meteorological Service of Canada; University of Victoria</t>
  </si>
  <si>
    <t>Boer, GJ (corresponding author), Univ Victoria, Meteorol Serv Canada, Canadian Ctr Climate Modelling &amp; Anal, Victoria, BC V8W 2Y2, Canada.</t>
  </si>
  <si>
    <t>boer, george/AAB-1269-2021; Yu, Bin/N-4021-2019; Yu, Bin/JAC-8514-2023</t>
  </si>
  <si>
    <t>FEB 13</t>
  </si>
  <si>
    <t>10.1029/2002GL016549</t>
  </si>
  <si>
    <t>662EX</t>
  </si>
  <si>
    <t>WOS:000181935000006</t>
  </si>
  <si>
    <t>King, M; Aoki, S</t>
  </si>
  <si>
    <t>Tidal observations on floating ice using a single GPS receiver</t>
  </si>
  <si>
    <t>SEA-LEVEL VARIATION</t>
  </si>
  <si>
    <t>[1] We measure ocean tides as experienced by sea ice or ice shelves using a single GPS receiver. Such a method allows for tidal measurements to be made with the same precision regardless of its distance from a GPS base station, since such a base station is not required. Single epoch observations are shown to be accurate to about 50 mm when compared with concurrent Bottom Pressure Gauge (BPG) observations. The differences between the GPS and BPG observations are largely free from power at tidal frequencies. Furthermore, harmonic tidal analyses show that these GPS observations allow the correct determination of diurnal and semi-diurnal tidal constituents, meaning that observations of this type can be assimilated into numerical tide models.</t>
  </si>
  <si>
    <t>Newcastle Univ, Sch Civil Engn &amp; Geosci, Newcastle Upon Tyne NE1 7RU, Tyne &amp; Wear, England; Natl Inst Polar Res, Ctr Antarctic Environm Monitoring, Itabashi Ku, Tokyo 1738515, Japan</t>
  </si>
  <si>
    <t>Newcastle University - UK; Research Organization of Information &amp; Systems (ROIS); National Institute of Polar Research (NIPR) - Japan</t>
  </si>
  <si>
    <t>Newcastle Univ, Sch Civil Engn &amp; Geosci, Bedson Bldg, Newcastle Upon Tyne NE1 7RU, Tyne &amp; Wear, England.</t>
  </si>
  <si>
    <t>m.a.king@ncl.ac.uk; shigeru@nipr.ac.jp</t>
  </si>
  <si>
    <t>King, Matt/B-4622-2008; Aoki, Shigeru/D-9105-2012</t>
  </si>
  <si>
    <t>King, Matt/0000-0001-5611-9498;</t>
  </si>
  <si>
    <t>10.1029/2002GL016182</t>
  </si>
  <si>
    <t>WOS:000181935000004</t>
  </si>
  <si>
    <t>Bailey, DM; Bagley, PM; Jamieson, AJ; Collins, MA; Priede, IG</t>
  </si>
  <si>
    <t>In situ investigation of burst swimming and muscle performance in the deep-sea fish Antimora rostrata (Gunther, 1878)</t>
  </si>
  <si>
    <t>International Scientific Meeting on Benthic Dynamics: In Situ Surveillance of the Sediment-Water Interface</t>
  </si>
  <si>
    <t>MAR 25-29, 2002</t>
  </si>
  <si>
    <t>UNIV ABERDEEN, ABERDEEN, SCOTLAND</t>
  </si>
  <si>
    <t>UNIV ABERDEEN</t>
  </si>
  <si>
    <t>deep water; fish physiology; hydrostatic pressure; marine technology; swimming; temperature; North Atlantic; Porcupine Scabight</t>
  </si>
  <si>
    <t>HIGH-SPEED FILM; POWER OUTPUT; LACTATE-DEHYDROGENASES; MAXIMUM ACCELERATIONS; LOCOMOTOR PERFORMANCE; DEFENSIVE MORPHOLOGY; START PERFORMANCE; FOOD AVAILABILITY; HAWAIIAN-ISLANDS; TRADE-OFF</t>
  </si>
  <si>
    <t>The few existing measurements of deep-sea fish physiology consistently indicate reduced basal metabolism and metabolic power. A possible explanation for this is the reduction in selective pressure for burst activity capacity due to a reduction in the frequency and duration of predator-prey interactions in the sparsely distributed fish community and continuous darkness. Video recordings of stimulated fast-starts in deep-sea fish were obtained by a lander vehicle and analysed to give the swimming velocities, accelerations, and inertial power requirements of fast-start swimming in Antimora rostrata. With a mean peak velocity of 0.7 m s(-1), and white muscle power output of only 17.0 W kg(-1). A. rostrata is a slow moving fish, but no slower than shallow-water fishes at the same temperature. (C) 2002 Elsevier Science B.V. All rights reserved.</t>
  </si>
  <si>
    <t>Univ Aberdeen, Ocean Lab, Newbury AB41 6AA, Aberdeen, England; British Antarctic Survey, Cambridge CB3 0ET, England</t>
  </si>
  <si>
    <t>University of Aberdeen; UK Research &amp; Innovation (UKRI); Natural Environment Research Council (NERC); NERC British Antarctic Survey</t>
  </si>
  <si>
    <t>Univ Aberdeen, Ocean Lab, Newbury AB41 6AA, Aberdeen, England.</t>
  </si>
  <si>
    <t>d.bailey@abdn.ac.uk</t>
  </si>
  <si>
    <t>, Martin/ABE-6728-2020; Collins, Martin A/J-8560-2017; Bailey, David/A-6240-2008</t>
  </si>
  <si>
    <t>, Martin/0000-0001-7132-8650; Priede, Imants/0000-0002-5064-9751; Jamieson, Alan/0000-0001-9835-2909; Bailey, David/0000-0002-0824-8823</t>
  </si>
  <si>
    <t>FEB 12</t>
  </si>
  <si>
    <t>PII S0022-0981(02)00534-8</t>
  </si>
  <si>
    <t>10.1016/S0022-0981(02)00534-8</t>
  </si>
  <si>
    <t>646GE</t>
  </si>
  <si>
    <t>WOS:000181026600019</t>
  </si>
  <si>
    <t>Barnes, PRF; Wolff, EW; Mader, HM; Udisti, R; Castellano, E; Röthlisberger, R</t>
  </si>
  <si>
    <t>Evolution of chemical peak shapes in the Dome C, Antarctica, ice core -: art. no. 4126</t>
  </si>
  <si>
    <t>ice; diffusion; sulfate; grain boundaries; grain growth; ice core</t>
  </si>
  <si>
    <t>GRAIN-BOUNDARIES; THERMAL-BEHAVIOR; SULFURIC-ACID; POLAR ICE; FIRN; GREENLAND; DIFFUSION; MIGRATION; RECORDS</t>
  </si>
  <si>
    <t>[1] Interpretation of the chemical layers measured in ice cores requires knowledge of processes occurring after their deposition on the ice sheet. We present evidence for the diffusion of soluble ions in the top 350 m of the Dome C ice core, Antarctica, that helps in explaining the unexpectedly broad volcanic peaks observed at depth. A windowed-differencing operation applied to chemical time series indicates a damping of the signals over the past 11,000 years, independent of minor climatic variation, for sulfate and chloride, but not sodium. This implies a diffusive process is transporting both sulfate and chloride ions while the sodium ions remain fixed. We estimate the effective diffusivity in the core to be 4.7 x 10(-8) m(2) yr(-1) for sulfate and 2.0 x 10(-7) m(2) yr(-1) for chloride. These values are not high enough to significantly disrupt chemical interpretation in this section of core, but could be significant for older ice. The temperature of this section of ice (-53degreesC) implies that the predominantly acidic sulfate (and possibly chloride ions) will exist in the liquid phase while the sodium may be solid. We propose and develop two new mechanisms that could explain the observed solute movement. One involves the diffusion of solute through a connected vein network driven by liquid concentration imbalances instigated by the process of grain growth. The other considers a system of discontinuous veins where grain growth increases connectivity between isolated vein clusters allowing the spread of solute. In both mechanisms, the effective diffusivity is governed indirectly by grain growth rate; this may be a significant factor controlling effective diffusion in other cores.</t>
  </si>
  <si>
    <t>British Antarctic Survey, NERC, Cambridge CB3 0ET, England; Dept Earth Sci, Bristol BS8 1RJ, Avon, England; Univ Florence, Dept Publ Hlth &amp; Environm Analyt Chem, I-50121 Florence, Italy</t>
  </si>
  <si>
    <t>UK Research &amp; Innovation (UKRI); Natural Environment Research Council (NERC); NERC British Antarctic Survey; University of Florence</t>
  </si>
  <si>
    <t>Barnes, PRF (corresponding author), British Antarctic Survey, NERC, High Cross,Madingley Rd, Cambridge CB3 0ET, England.</t>
  </si>
  <si>
    <t>prfb@pcmail.nerc-bas.ac.uk</t>
  </si>
  <si>
    <t>Wolff, Eric W/D-7925-2014; Udisti, Roberto/M-7966-2015; Barnes, Piers/F-1558-2010</t>
  </si>
  <si>
    <t>Wolff, Eric W/0000-0002-5914-8531; Udisti, Roberto/0000-0003-4440-8238; Becagli, Silvia/0000-0003-3633-4849; Barnes, Piers/0000-0002-7537-8759</t>
  </si>
  <si>
    <t>D3</t>
  </si>
  <si>
    <t>10.1029/2002JD002538</t>
  </si>
  <si>
    <t>662FE</t>
  </si>
  <si>
    <t>WOS:000181936000006</t>
  </si>
  <si>
    <t>Nisancioglu, KH; Raymo, ME; Stone, PH</t>
  </si>
  <si>
    <t>Reorganization of Miocene deep water circulation in response to the shoaling of the Central American Seaway</t>
  </si>
  <si>
    <t>paleoceanography; miocene; climate; model; deep water; world ocean</t>
  </si>
  <si>
    <t>MIXED BOUNDARY-CONDITIONS; THERMOHALINE CIRCULATION; ABYSSAL CIRCULATION; OCEAN CIRCULATION; WORLD OCEAN; MODEL; ATLANTIC; PANAMA; ATMOSPHERE; EQUILIBRIUM</t>
  </si>
  <si>
    <t>[1] The response of ocean circulation to the shoaling of the Central American Seaway (CAS) is investigated using the Massachusetts Institute of Technology (MIT) Ocean General Circulation Model (OGCM). In contrast to earlier model studies, it is found that significant amounts of deep water are formed in the North Atlantic prior to the closure of the CAS. However, the circulation pattern is fundamentally different from the modern ocean. In the upper layers of the CAS, there is a relatively strong geostrophic flow from the Pacific to the Atlantic, controlled by the pressure difference across the seaway. However, when the CAS is deeper than the level of North Atlantic Deep Water (NADW) outflow, a significant amount of NADW passes through the CAS to the Pacific Ocean. In the Pacific, the deep water traverses the basin from east to west in a relatively narrow zonal jet, and becomes a southward flowing western boundary current, before it joins with the Antarctic Circumpolar Current (ACC) to the south. This implies that deep sea sediment records from the Miocene Pacific Ocean could have been influenced by relatively young NADW and provides a new framework for the interpretation of geochemical tracer data. Diversification of benthic foraminifer fauna suggests that the CAS shoaled to a depth of about 1000 m toward the end of the middle Miocene. This would have prevented the passage of NADW to the Pacific and established the modern deep water circulation pattern at that time.</t>
  </si>
  <si>
    <t>MIT, Program Atmosphere Oceans &amp; Climate, Dept Earth Atmospher &amp; Planetary Sci, Cambridge, MA 02141 USA; Boston Univ, Dept Earth Sci, Boston, MA 02215 USA</t>
  </si>
  <si>
    <t>Massachusetts Institute of Technology (MIT); Boston University</t>
  </si>
  <si>
    <t>MIT, Program Atmosphere Oceans &amp; Climate, Dept Earth Atmospher &amp; Planetary Sci, Cambridge, MA 02141 USA.</t>
  </si>
  <si>
    <t>kerim@mit.edu; raymo@bu.edu; phstone@mit.edu</t>
  </si>
  <si>
    <t>Raymo, Maureen E/A-1270-2012; Nisancioglu, Kerim/AAW-9315-2021</t>
  </si>
  <si>
    <t>Nisancioglu, Kerim/0000-0002-5737-5765</t>
  </si>
  <si>
    <t>FEB 11</t>
  </si>
  <si>
    <t>10.1029/2002PA000767</t>
  </si>
  <si>
    <t>662RU</t>
  </si>
  <si>
    <t>WOS:000181962600002</t>
  </si>
  <si>
    <t>Austrodoral and austrodoric acid:: nor-sesquiterpenes with a new carbon skeleton from the Antarctic nudibranch Austrodoris kerguelenensis</t>
  </si>
  <si>
    <t>marine natural product; terpenes and terpenoids; nudibranch</t>
  </si>
  <si>
    <t>ACANTHODORIS-NANAIMOENSIS; DITERPENOIC ACID; ICHTHYOTOXIC DIACYLGLYCEROL; DORIS-VERRUCOSA; GLYCERIDES; SKIN</t>
  </si>
  <si>
    <t>Two unprecedented nor-sesquiterpenes, austrodoral (4) and its oxidised derivative austrodoric acid (5), have been isolated from the skin of the marine dorid Austrodoris kerguelenensis, collected in Antarctica. The structures and the relative stereochemistry were elucidated on the basis of spectroscopic data. A role of stress-metabolites could be suggested for these compounds. (C) 2003 Elsevier Science Ltd. All rights reserved.</t>
  </si>
  <si>
    <t>Gavagnin, Margherita/B-4584-2012; Mollo, Ernesto/F-7842-2013</t>
  </si>
  <si>
    <t>FEB 10</t>
  </si>
  <si>
    <t>PII S0040-4039(02)02849-6</t>
  </si>
  <si>
    <t>10.1016/S0040-4039(02)02849-6</t>
  </si>
  <si>
    <t>643VM</t>
  </si>
  <si>
    <t>WOS:000180882000040</t>
  </si>
  <si>
    <t>Stepanova, MV; Antonova, EE; Troshichev, O</t>
  </si>
  <si>
    <t>Intermittency of magnetospheric dynamics through non-Gaussian distribution function of PC-index fluctuations</t>
  </si>
  <si>
    <t>SELF-ORGANIZED CRITICALITY; MAGNETIC-FIELD TOPOLOGY; SOLAR-WIND; POLAR-CAP; AURORAL ELECTROJET; PLASMA SHEET; TURBULENCE; SUBSTORM; VELOCITY; DENSITY</t>
  </si>
  <si>
    <t>[1] Dynamical behavior of the one minute resolution Polar Cap (PC) index was studied by using the 1995-2000 data sets. It was found that the probability distribution functions (PDFs) of the PC-index increments display a strong non-Gaussian shape in both positive and negative time intervals, depending on the time of an increment. This indicates that PC-index is not characterized by a global time self-similarity but rather exhibits an intermittency, previously detected in solar wind and auroral electrojet index time series. The PDFs for the PC index increments are fitted by the functional form proposed by Castaing et al. [1990] to describe intermittency phenomena in an ordinary turbulent fluid flow. The parameters that characterize the PC index increments PDF are very close to those reported before for solar wind magnetic field probability distribution functions. This indicates that the PC index adequately reflects the solar wind effects on the high-latitude magnetosphere.</t>
  </si>
  <si>
    <t>Univ Santiago Chile, Dept Fis, Santiago, Chile; Moscow MV Lomonosov State Univ, Skobeltsyn Inst Phys Nucl, Moscow 119899, Russia; Arctic &amp; Antarctic Res Inst, Dept Geophys, St Petersburg 199397, Russia</t>
  </si>
  <si>
    <t>Universidad de Santiago de Chile; Lomonosov Moscow State University; Arctic &amp; Antarctic Research Institute</t>
  </si>
  <si>
    <t>Stepanova, MV (corresponding author), Univ Santiago Chile, Dept Fis, Casilla 307,Correo 2, Santiago, Chile.</t>
  </si>
  <si>
    <t>Antonova, Elizaveta E/A-2716-2012; Stepanova, Marina V/D-6329-2011</t>
  </si>
  <si>
    <t>Antonova, Elizaveta E/0000-0001-6980-3993; Stepanova, Marina V/0000-0002-1053-3375</t>
  </si>
  <si>
    <t>FEB 8</t>
  </si>
  <si>
    <t>10.1029/2002GL016070</t>
  </si>
  <si>
    <t>661JR</t>
  </si>
  <si>
    <t>WOS:000181887900001</t>
  </si>
  <si>
    <t>Proffitt, MH; Aikin, K; Tuck, AF; Margitan, JJ; Webster, CR; Toon, GC; Elkins, JW</t>
  </si>
  <si>
    <t>Seasonally averaged ozone and nitrous oxide in the Northern Hemisphere lower stratosphere</t>
  </si>
  <si>
    <t>ozone; O-3; stratosphere; tracer; isentropic</t>
  </si>
  <si>
    <t>BALLOON-BORNE OBSERVATIONS; ARCTIC POLAR VORTEX; POTENTIAL VORTICITY; MIDDLE LATITUDES; MODEL SIMULATIONS; ANTARCTIC VORTEX; ER-2 AIRCRAFT; LOSS RATES; WINTER; TRANSPORT</t>
  </si>
  <si>
    <t>[1] Northern Hemisphere ozone (O-3) measurements in the lower stratosphere made from 1989 to 1997 are presented along with simultaneous measurements of the conserved tracer nitrous oxide (N2O) to help separate O-3 changes due to photochemistry from those due to transport. This model-independent analysis represents 139 flights aboard the ER-2 aircraft and 12 profiles from balloons and uses zonal, isobaric, and isentropic seasonal averages of O-3 and N2O to examine seasonal changes in O-3 distributions. The resulting seasonal families of curves at constant latitude are somewhat intertwined, while the families of isobaric and isentropic curves are not. Although some of the isobaric curves cross, the isentropic curves are sufficiently separated to confidently estimate O-3 by specifying season, N2O, and potential temperature, then interpolating between the curves. Such estimates may be useful for testing of photochemical models with transport, and perhaps more importantly, the families of curves could serve as baseline references for estimating high latitude photochemical O-3 loss and as an indicator of O-3 recovery in the lower stratosphere.</t>
  </si>
  <si>
    <t>NOAA, Aeron Lab, Boulder, CO 80305 USA; Univ Colorado, NOAA, Cooperat Inst Res Environm Sci, Boulder, CO 80309 USA; CALTECH, Jet Prop Lab, NASA, Pasadena, CA 91109 USA; NOAA, Climate Monitoring &amp; Diagnost Lab, Boulder, CO 80305 USA</t>
  </si>
  <si>
    <t>National Oceanic Atmospheric Admin (NOAA) - USA; University of Colorado System; University of Colorado Boulder; National Oceanic Atmospheric Admin (NOAA) - USA; California Institute of Technology; National Aeronautics &amp; Space Administration (NASA); NASA Jet Propulsion Laboratory (JPL); National Oceanic Atmospheric Admin (NOAA) - USA</t>
  </si>
  <si>
    <t>WMO, Atmospher Res &amp; Environm Programme, Environm Div, 7 Bis Ave Paix,Case Postale 2300, CH-1211 Geneva, Switzerland.</t>
  </si>
  <si>
    <t>proffitt@wmo.ch; kaikin@al.noaa.gov; atuck@al.noaa.gov; jm@caesar.jpl.nasa.gov; Chris.R.Webster@jpl.nasa.gov; toon@mark4sun.jpl.nasa.gov; james.w.elkins@noaa.gov</t>
  </si>
  <si>
    <t>Tuck, Adrian/F-6024-2011; Webster, Chris/M-9315-2019; Aikin, Kenneth C/I-1973-2013</t>
  </si>
  <si>
    <t>Tuck, Adrian/0000-0002-2074-0538;</t>
  </si>
  <si>
    <t>FEB 7</t>
  </si>
  <si>
    <t>10.1029/2002JD002657</t>
  </si>
  <si>
    <t>661KN</t>
  </si>
  <si>
    <t>WOS:000181889900003</t>
  </si>
  <si>
    <t>Shibata, T; Sato, K; Kobayashi, H; Yabuki, M; Shiobara, M</t>
  </si>
  <si>
    <t>Antarctic polar stratospheric clouds under temperature perturbation by nonorographic inertia gravity waves observed by micropulse lidar at Syowa Station</t>
  </si>
  <si>
    <t>polar stratospheric clouds; inertia gravity waves; micropulse lidar</t>
  </si>
  <si>
    <t>OBSERVED SANDWICH STRUCTURE; OZONE DEPLETION; PSC PARTICLES; ICE; DENITRIFICATION; NUCLEATION; AEROSOLS</t>
  </si>
  <si>
    <t>[1] Type II polar stratospheric clouds (PSCs) were observed by micropulse lidar (MPL) at Syowa Station in the Antarctic on 30 June and on 1 July 2001. The vertical profiles of the PSCs had a wavy structure that was synchronized with the temperature fluctuations. A wave analysis using radiosonde data shows that the wavy fluctuations were associated with an inertia gravity wave that was not forced by ground topography, but probably by a spontaneous adjustment in association with synoptic-scale wave-breaking processes in the upper troposphere. It is suggested that the observed PSCs were generated under the low-temperature conditions induced by these waves and that such gravity waves generated by spontaneous adjustment of large-scale fields can be more important to the formation of PSC particles, in both the Antarctic and Arctic stratosphere, than topographically forced gravity waves, because the former are not fixed to the ground topography.</t>
  </si>
  <si>
    <t>Nagoya Univ, Grad Sch Environm Studies, Chikusa Ku, Nagoya, Aichi 4648601, Japan; Natl Inst Polar Res, Itabashi Ku, Tokyo 1738515, Japan; Yamanashi Univ, Dept Ecosocial Syst Engn, Yamanashi, Japan; Chiba Univ, Ctr Environm Remote Sensing, Inage Ku, Chiba 2638522, Japan</t>
  </si>
  <si>
    <t>Nagoya University; Research Organization of Information &amp; Systems (ROIS); National Institute of Polar Research (NIPR) - Japan; University of Yamanashi; Chiba University</t>
  </si>
  <si>
    <t>Nagoya Univ, Grad Sch Environm Studies, Chikusa Ku, Furo Cho, Nagoya, Aichi 4648601, Japan.</t>
  </si>
  <si>
    <t>tshibata@stelab.nagoya-u.ac.jp; kaoru@nipr.ac.jp; koba@js.yamanashi.ac.jp; yabuki@ceres.cr.chiba-u.ac.jp; shio@nipr.ac.jp</t>
  </si>
  <si>
    <t>Satoh, Kaoru/P-2047-2015; Sato, Kaoru/E-1693-2012</t>
  </si>
  <si>
    <t>Sato, Kaoru/0000-0002-6225-6066</t>
  </si>
  <si>
    <t>FEB 6</t>
  </si>
  <si>
    <t>10.1029/2002JD002713</t>
  </si>
  <si>
    <t>661KL</t>
  </si>
  <si>
    <t>WOS:000181889700006</t>
  </si>
  <si>
    <t>Brix, H; Gerdes, R</t>
  </si>
  <si>
    <t>North Atlantic Deep Water and Antarctic Bottom Water: Their interaction and influence on the variability of the global ocean circulation</t>
  </si>
  <si>
    <t>interhemispheric interactions; thermohaline circulation</t>
  </si>
  <si>
    <t>SOUTHERN-HEMISPHERE WINDS; FLUX-CORRECTED TRANSPORT; LARGE-SCALE CIRCULATION; SEA-ICE; THERMOHALINE CIRCULATION; CIRCUMPOLAR CURRENT; WEDDELL SEA; WORLD OCEAN; MODEL; SENSITIVITY</t>
  </si>
  <si>
    <t>[1] Interhemispheric signal transmission in the Atlantic Ocean connects the deep water production regions of both hemispheres. The nature of these interactions and large-scale responses to perturbations on timescales of years to millennia have been investigated using a global three-dimensional ocean general circulation model coupled to a dynamic-thermodynamic sea ice model. The coupled model reproduces many aspects of today's oceanic circulation. A set of experiments shows the sensitivity to changes in different surface boundary conditions. Buoyancy changes in the Weddell and Labrador Seas exert a direct effect on the overturning cells of the respective hemisphere. They influence the density structure of the deep ocean and thereby lead to alterations in the strength of the ACC. Changing the wind stress south of 30degreesS influences the magnitude of the deep water production of both hemispheres. The interhemispheric effect in these experiments cannot be explained solely by advective mechanisms. Switching off the wind stress over the latitude band of the Drake Passage leads to a slow gradual decrease of the water mass transport in the ACC, resulting in an almost complete cessation. The model results prove the necessity to continue integrations over thousands of years until new equilibria are established.</t>
  </si>
  <si>
    <t>Alfred Wegener Inst Polar &amp; Marine Res, D-27570 Bremerhaven, Germany</t>
  </si>
  <si>
    <t>Univ Calif Los Angeles, Inst Geophys &amp; Planetary Phys, Los Angeles, CA 90095 USA.</t>
  </si>
  <si>
    <t>hbrix@igpp.ucla.edu; rgerdes@awi-bremerhaven.de</t>
  </si>
  <si>
    <t>Brix, Holger/0000-0003-4229-6164</t>
  </si>
  <si>
    <t>10.1029/2002JC001335</t>
  </si>
  <si>
    <t>661LU</t>
  </si>
  <si>
    <t>WOS:000181892700004</t>
  </si>
  <si>
    <t>Moller, PR; Nielsen, JG; Fossen, I</t>
  </si>
  <si>
    <t>Fish migration: Patagonian toothfish found off Greenland - This catch is evidence of transequatorial migration by a cold-water Antarctic fish</t>
  </si>
  <si>
    <t>Univ Copenhagen, Zool Museum, DK-2100 Copenhagen O, Denmark; More Res, Sect Fisheries, N-6021 Alesund, Norway</t>
  </si>
  <si>
    <t>University of Copenhagen</t>
  </si>
  <si>
    <t>Moller, PR (corresponding author), Univ Copenhagen, Zool Museum, DK-2100 Copenhagen O, Denmark.</t>
  </si>
  <si>
    <t>Møller, Peter/A-8807-2013</t>
  </si>
  <si>
    <t>Møller, Peter/0000-0002-0177-0977</t>
  </si>
  <si>
    <t>10.1038/421599a</t>
  </si>
  <si>
    <t>642KH</t>
  </si>
  <si>
    <t>WOS:000180803200031</t>
  </si>
  <si>
    <t>Candy, SG</t>
  </si>
  <si>
    <t>Predicting time to peak occurrence of insect life-stages using regression models calibrated from stage-frequency data and ancillary stage-mortality data</t>
  </si>
  <si>
    <t>AGRICULTURAL AND FOREST ENTOMOLOGY</t>
  </si>
  <si>
    <t>Chrysophtharta bimaculata; continuation ratios; generalized linear models; leaf beetles; mortality; phenology; stage-frequency data</t>
  </si>
  <si>
    <t>BIMACULATA OLIVIER COLEOPTERA; LINEAR MIXED MODELS; STOCHASTIC-MODEL; BACILLUS-THURINGIENSIS; DEVELOPMENT RATES; CHRYSOMELIDAE; PHENOLOGY; POPULATION; INFERENCE; FIELD</t>
  </si>
  <si>
    <t>1 Integrated Pest Management programmes often require predictions of peak occurrence of particular insect life-stages to optimize the timing of population monitoring and control operations. 2 Given a known or estimated starting time for a synchronously developing pest population, predictive models estimated from stage-frequency data alone can only predict the times of peak occurrence assuming a constant mortality rate across stages. 3 Here, continuation ratio regression models of relative stage frequencies estimated from stage-frequency data are combined with a stage-specific model of mortality estimated from ancillary mortality data to allow prediction of time of peak occurrence. 4 To calculate time of peak occurrence new mathematical derivations are given for continuation ratio models. 5 The models are used to predict the time of peak occurrence in degree-day units for each of the first to third larval instars of the Tasmanian Eucalyptus leaf beetle Chrysophtharta bimaculata (Olivier) (Coleoptera: Chrysomelidae), a serious defoliator of Eucalyptus regnans and E. nitens plantations in Tasmania.</t>
  </si>
  <si>
    <t>Forestry Tasmania, St Hobart, Tas 7000, Australia</t>
  </si>
  <si>
    <t>Candy, SG (corresponding author), Australian Antarctic Div, Channel Highway, Kingston, Tas 7050, Australia.</t>
  </si>
  <si>
    <t>BLACKWELL PUBL LTD</t>
  </si>
  <si>
    <t>108 COWLEY RD, OXFORD OX4 1JF, OXON, ENGLAND</t>
  </si>
  <si>
    <t>1461-9555</t>
  </si>
  <si>
    <t>AGRIC FOR ENTOMOL</t>
  </si>
  <si>
    <t>Agric. For. Entomol.</t>
  </si>
  <si>
    <t>FEB</t>
  </si>
  <si>
    <t>10.1046/j.1461-9563.2003.00161.x</t>
  </si>
  <si>
    <t>681BT</t>
  </si>
  <si>
    <t>WOS:000183017500006</t>
  </si>
  <si>
    <t>Van Parijs, SM; Lydersen, C; Kovacs, KM</t>
  </si>
  <si>
    <t>Vocalizations and movements suggest alternative mating tactics in male bearded seals</t>
  </si>
  <si>
    <t>ANIMAL BEHAVIOUR</t>
  </si>
  <si>
    <t>MALE HARBOR SEALS; MALE ATLANTIC WALRUSES; ANTARCTIC FUR SEALS; PHOCA-VITULINA; UNDERWATER VOCALIZATIONS; ERIGNATHUS-BARBATUS; HALICHOERUS-GRYPUS; SITE FIDELITY; RED DEER; GEOGRAPHICAL VARIATION</t>
  </si>
  <si>
    <t>We combined observations, of individual male bearded seal, Erignathus barbabus, behaviour at sea with acoustic localization techniques to investigate their reproductive strategies. Data on trill vocalizations and dive behaviour were collected over consecutive years during the seals' mating season in Svalbard, Norway. Males showed stereotypical dive and vocal displays, with clear individual variation. Acoustic localization provided at-sea locations for 17 males based on variation in trill parameters. Kernel home range analyses showed that 12 individuals displayed at set locations (95% kernels=0.27-1.93 km(2)) and five other males displayed within considerably larger geographical areas (95% kernels=5.31-12.5 km(2)). Males that used the set locations maintained single discrete core areas (50% kernels), while males with large areas moved between multiple core areas. Movement patterns of males suggest that those with small areas patrolled aquatic territories, while those that used larger areas appeared to 'roam'. Territorial males showed little spatial overlap, while roaming males overlapped substantially with both territorial and other males' areas. Territorial males had significantly longer trills than roamers. We suggest that trill duration may be a useful indicator of male 'quality'. Territorial male bearded seals may be 'successful' individuals while roaming males may be younger animals or males in poorer condition that are unable to maintain an aquatic territory. Our data on underwater vocalizations and movements of male bearded seals thus provide evidence for the use of alternative mating tactics in this species. (C) 2003 The Association for the Study of Animal Behaviour. Published by Elsevier Science Ltd. All rights reserved.</t>
  </si>
  <si>
    <t>Norwegian Polar Res Inst, N-9296 Tromso, Norway</t>
  </si>
  <si>
    <t>Norwegian Polar Institute</t>
  </si>
  <si>
    <t>Van Parijs, SM (corresponding author), Univ Tromso, Norwegian Coll Fisheries Sci, N-9037 Tromso, Norway.</t>
  </si>
  <si>
    <t>0003-3472</t>
  </si>
  <si>
    <t>ANIM BEHAV</t>
  </si>
  <si>
    <t>Anim. Behav.</t>
  </si>
  <si>
    <t>10.1006/anbe.2003.2048</t>
  </si>
  <si>
    <t>Behavioral Sciences; Zoology</t>
  </si>
  <si>
    <t>652RH</t>
  </si>
  <si>
    <t>WOS:000181391800002</t>
  </si>
  <si>
    <t>Li, ZX; Conil, S</t>
  </si>
  <si>
    <t>A 1000-year simulation with the IPSL ocean-atmosphere coupled model</t>
  </si>
  <si>
    <t>coupled climate model; long-term climate simulation; oceanic overturning circulation; model drift</t>
  </si>
  <si>
    <t>GCM</t>
  </si>
  <si>
    <t>A 1000-year climate simulation is run with the ocean-atmosphere Coupled model developed at the Institute Pierre-Simon Laplace (IPSL, Paris). No flux adjustment is used. The drift of the model is analyzed in terms of the sea-surface temperature and deep ocean temperature. When the model's own equilibrium is reached, it is found that the Antarctic bottom water production experiences large-amplitude variation, oscillating between strong and weak episodes. This can yield oceanic temperature variation in the Southern Hemisphere and for the global mean.</t>
  </si>
  <si>
    <t>Univ Paris 06, CNRS, Meteorol Dynam Lab, F-75252 Paris 05, France</t>
  </si>
  <si>
    <t>Centre National de la Recherche Scientifique (CNRS); Sorbonne Universite</t>
  </si>
  <si>
    <t>Li, ZX (corresponding author), Univ Paris 06, CNRS, Meteorol Dynam Lab, Casier 99,4 Pl Jussieu, F-75252 Paris 05, France.</t>
  </si>
  <si>
    <t>Li, Laurent/X-3278-2019</t>
  </si>
  <si>
    <t>Li, Laurent/0000-0002-3855-3976</t>
  </si>
  <si>
    <t>664DF</t>
  </si>
  <si>
    <t>WOS:000182045900004</t>
  </si>
  <si>
    <t>Takahashi, K</t>
  </si>
  <si>
    <t>Effects of climatic conditions on shoot elongation of alpine dwarf pine (Pinus pumila) at its upper and lower altitudinal limits in central Japan</t>
  </si>
  <si>
    <t>KISO MOUNTAIN-RANGE; TIMBERLINE CONIFERS; GROWTH-RESPONSE; WIND EXPOSURE; MORTALITY; DYNAMICS; ABIES; USA</t>
  </si>
  <si>
    <t>The effects of climatic conditions on the shoot elongation of alpine dwarf pine (Pinus pumila) were examined at its lower and upper altitudinal limits on Mt. Norikura (2500 and 2840 In a.s.l.) and Mt. Shogigashira (2640 and 2675 m a.s.l.) in central Japan. Altitudinal forest-structural changes were also described. Shoot elongation and stem height of P. pumila increased with decreasing altitude, but its abundance was markedly decreased at the altitudinal ecotone between the upper P. pumila zone and the lower Betula ermanii zone because of the suppression by tall B. ermanii. Thus, the lower altitudinal limit of P. pumila was probably determined by the competition with B. ermanii. The interannual variation in the shoot elongation of P. pumila was related to climatic conditions; long shoot length was associated with high summer temperatures of the previous year at both the upper and lower altitudinal limits on the two mountains. In addition, rates of the increase of shoot elongation in response to the increase of air temperature were not different between the upper and lower altitudinal limits. Thus, the increase of summer temperatures would enhance the growth of P. pumila from its upper to lower altitudinal limits. However, it is harder to predict the altitudinal distribution shift of P. pumila due to environmental change because its lower altitudinal limit is largely affected by competition with B. ermanii. Therefore, this study concluded that long-term monitoring of the population dynamics at the P. pumila-B. ermanii ecotone is necessary to predict the distribution shift of P. pumila.</t>
  </si>
  <si>
    <t>Shinshu Univ, Fac Sci, Dept Biol, Matsumoto, Nagano 3908621, Japan</t>
  </si>
  <si>
    <t>Shinshu University</t>
  </si>
  <si>
    <t>Shinshu Univ, Fac Sci, Dept Biol, Matsumoto, Nagano 3908621, Japan.</t>
  </si>
  <si>
    <t>koichi@gipac.shinshu-u.ac.jp</t>
  </si>
  <si>
    <t>10.1657/1523-0430(2003)035[0001:EOCCOS]2.0.CO;2</t>
  </si>
  <si>
    <t>661XV</t>
  </si>
  <si>
    <t>WOS:000181915900001</t>
  </si>
  <si>
    <t>Sklenár, P; Lægaard, S</t>
  </si>
  <si>
    <t>Rain-shadow in the high Andes of Ecuador evidenced by paramo vegetation</t>
  </si>
  <si>
    <t>EQUATORIAL ANDES; TURF DESTRUCTION</t>
  </si>
  <si>
    <t>Gradients of humidity on tropical high mountains are reflected by shifts of vegetation belts and changes in species composition and vegetation structure on the wind- and leeward sides. The suerparamo flora and vegetation were studied on opposite sides (west and east), of two Ecuadorian mountains, Chimborazo and Antisana. Zonal vegetation was studied in vegetation samples set out in a semi-random way, and the data were complemented by species occurring in azonal habitats. Ordination and clustering techniques were used to analyze the vegetation samples, while two different measures of the floristic similarity (index of quantitative floristic similarity and comparison of the observed and expected numbers of species shared between the mountain pairs) were employed to evaluate the floristic relationships between the study sites. The superparamo belt occurs asymmetrically, with regard to altitude, on the two mountains, being generally lower on the eastern side. Slopes with corresponding aspects between the mountains were more similar than were the opposite slopes of each mountain. The observed floristic pattern is interpreted in the context of the precipitation gradient leading to a rain-shadow on the western side of the mountains. The occurrence of the desert-like area, the so-called Arenal Grande, and the unique paramo vegetation on the western side of Chimborazo is discussed.</t>
  </si>
  <si>
    <t>Charles Univ, Dept Bot, Prague 12801, Czech Republic; Aarhus Univ, Dept Systemat Bot, DK-8000 Aarhus C, Denmark</t>
  </si>
  <si>
    <t>Charles University Prague; Aarhus University</t>
  </si>
  <si>
    <t>Sklenár, P (corresponding author), Charles Univ, Dept Bot, Benatska 2, Prague 12801, Czech Republic.</t>
  </si>
  <si>
    <t>Sklenář, Petr/IYS-5753-2023</t>
  </si>
  <si>
    <t>Sklenář, Petr/0000-0003-0429-2621</t>
  </si>
  <si>
    <t>10.1657/1523-0430(2003)035[0008:RSITHA]2.0.CO;2</t>
  </si>
  <si>
    <t>WOS:000181915900002</t>
  </si>
  <si>
    <t>Saros, JE; Interlandi, SJ; Wolfe, AP; Engstrom, DR</t>
  </si>
  <si>
    <t>Recent changes in the diatom community structure of lakes in the Beartooth Mountain Range, USA</t>
  </si>
  <si>
    <t>COLORADO FRONT RANGE; WATER-QUALITY CHANGES; REMOTE ALPINE LAKES; PALEOLIMNOLOGICAL ASSESSMENT; NITROGEN DEPOSITION; CLIMATE; ACIDIFICATION; RESPONSES; TEMPERATURE; RECONSTRUCTION</t>
  </si>
  <si>
    <t>In alpine lakes from several regions of the world, sedimentary diatom profiles indicate that rapid shifts in diatom community structure have occurred over the past century. A number of these recent shifts have been attributed to anthropogenic disturbances such as enhanced atmospheric nitrogen (N) deposition or climate change. When these disturbances a e coupled, the response of alpine lakes becomes more complex and varies from region to region. The Beartooth Mountain Range, situated on the border between Montana and Wyoming, is part of the central Rocky Mountains; it is considered an area of relatively low N deposition but has experienced an increase in bulk precipitation rates, primarily in the form of snowfall, over the past century. We have examined a 400-yr sediment record from Beartooth Lake and have observed a rapid change in the diatom community structure over the past decade. A typical alpine lake diatom flora, consisting mainly of small Fragilaria sensu lato species, dominated this lake until approximately 1995, at which time Fragilaria crotonensis and Cyclotella bodanica var. lemanica rapidly increased to approximately 30% each of the total assemblage. The diatom assemblages from the tops and bottoms of short cores from three additional lakes in the area also reveal taxonomic shifts. These shifts appear indicative of both increased N loading to these systems as well as changes in thermal stratification patterns.</t>
  </si>
  <si>
    <t>Univ Wisconsin, Dept Biol, La Crosse, WI 54601 USA; Drexel Univ, Sch Environm Sci Engn &amp; Policy, Philadelphia, PA 19104 USA; Univ Alberta, Dept Earth &amp; Atmospher Sci, Edmonton, AB T6G 2E3, Canada; Sci Museum Minnesota, St Croix Watershed Res Stn, Marine St Croix, MN 55047 USA</t>
  </si>
  <si>
    <t>University of Wisconsin System; Drexel University; University of Alberta</t>
  </si>
  <si>
    <t>Saros, JE (corresponding author), Univ Wisconsin, Dept Biol, 1725 State St, La Crosse, WI 54601 USA.</t>
  </si>
  <si>
    <t>Wolfe, Alexander P/G-6867-2011</t>
  </si>
  <si>
    <t>Engstrom, Daniel/0000-0002-8066-029X</t>
  </si>
  <si>
    <t>10.1657/1523-0430(2003)035[0018:RCITDC]2.0.CO;2</t>
  </si>
  <si>
    <t>WOS:000181915900003</t>
  </si>
  <si>
    <t>Gilbert, R; Chong, Å; Dunbar, RB; Domack, EW</t>
  </si>
  <si>
    <t>Sediment trap records of glacimarine sedimentation at Muller Ice Shelf, Lallemand Fjord, Antarctic Peninsula</t>
  </si>
  <si>
    <t>ORGANIC-MATTER; MCMURDO SOUND; SEA; TRANSPORT; DYNAMICS; DIATOM</t>
  </si>
  <si>
    <t>Three arrays, each containing four funnel-shaped sediment traps, were deployed near the front of the Muller Ice Shelf, Lallemand Fjord, western Antarctic Peninsula, in late austral summer 1998. Although the upper traps in each array were damaged or lost, eight others were recovered intact about 13 mo later. The mean flux of sediment was 1.4 to 2.9 mm a(-1) (1.67 to 3.5 kg m(-2) a(-1)) and showed little trend with respect to distance from the ice shelf or depth of water. Mean organic carbon and biogenic silica concentrations are 0.6 to 1.1% and 3.4 to 5.0%, respectively. Up to 50 microlaminae visible in x-radiographs probably indicate storm surges or the effect of spring tidal cycles. The sand content in most traps is 2 to 5 times lower in winter, reflecting reduced melt from icebergs and their limited mobility as they are held by sea ice. However, a secondary winter peak in very coarse sand is probably associated with eolian input during winter storms. Nitrogen is greater by 2 to 3 times in summer sediment, and organic carbon is up to 4 times greater. Biogenic silica shows less summer to winter difference, although the spring diatom bloom is represented by somewhat greater values in most traps. Summer values of isotopic organic carbon delta(13)C and total nitrogen delta(15)N are lower than winter values in response to heterotrophic removal of the lighter isotopes.</t>
  </si>
  <si>
    <t>Queens Univ, Dept Geog, Kingston, ON K7L 3N6, Canada; Stanford Univ, Dept Geol &amp; Environm Sci, Stanford, CA 94305 USA; Hamilton Coll, Dept Geol, Clinton, NY 13323 USA</t>
  </si>
  <si>
    <t>Queens University - Canada; Stanford University; Hamilton College</t>
  </si>
  <si>
    <t>Gilbert, R (corresponding author), Queens Univ, Dept Geog, Kingston, ON K7L 3N6, Canada.</t>
  </si>
  <si>
    <t>Dunbar, Robert/0000-0002-9728-5609</t>
  </si>
  <si>
    <t>10.1657/1523-0430(2003)035[0024:STROGS]2.0.CO;2</t>
  </si>
  <si>
    <t>WOS:000181915900004</t>
  </si>
  <si>
    <t>Tscherko, D; Bölter, M; Beyer, L; Chen, J; Elster, J; Kandeler, E; Kuhn, D; Blume, HP</t>
  </si>
  <si>
    <t>Biomass and enzyme activity of two soil transects at King George Island, maritime Antarctica</t>
  </si>
  <si>
    <t>MICROBIAL BIOMASS; ORNITHOGENIC SOILS; ARYLSULFATASE ACTIVITY; ARCTOWSKI STATION; N-MINERALIZATION; CASEY-STATION; BACTERIA; NITROGEN; COMMUNITIES; LEUCINE</t>
  </si>
  <si>
    <t>Soil microbial properties were investigated to assess the potential of organic matter dynamics in mineral and ornithogenic soils in a cold climate. Microbial biomass, respiration, N-mineralization, and enzyme activities were measured along two catenary transects crossing penguin rookeries and seabird colonies. Ornithogenic excrements, total organic carbon (TOC), and phosphorus accumulation were major factors controlling microbial properties in Antarctic soils. Multivariate approaches (cluster and discriminant analysis) clearly distinguished the ornithogenic soils from the mineral soils based on their microbial characteristics. Microbial biomass, respiration, and N-mineralization were gradually inhibited by increasing P-inputs by penguins. The metabolic quotient (qCO(2)) was negatively correlated to P-content, whereas all other microbial properties (microbial biomass, respiration, N-mineralization, enzyme activities) followed the patterns of TOC. Urease, xylanase, phosphatase, and arylsulfatase, activities were significantly favored by penguin and seabird excrements in the ornithogenic soils compared to the mineral soils. Microbial biomass-to-enzyme activity ratios were substantially higher at sites influenced by penguin guano than by other seabird excrement. We show that enzymes are active in antarctic soils, and that high levels of biomass-based specific activity in the ornithogenic soils, compared to those of mineral soils, result from continuous input of large quantities of enzyme-rich penguin guano.</t>
  </si>
  <si>
    <t>Univ Hohenheim, Inst Soil Sci, D-70599 Stuttgart, Germany; Univ Kiel, Inst Polar Ecol, D-24148 Kiel, Germany; Chinese Acad Sci, Inst Soil Sci, Nanjing 210008, Peoples R China; Acad Sci Czech Republ, Inst Bot, CZ-37982 Trebon, Czech Republic; Univ Kiel, Inst Soil Sci, D-24098 Kiel, Germany</t>
  </si>
  <si>
    <t>University Hohenheim; University of Kiel; Chinese Academy of Sciences; Nanjing Institute of Soil Science, CAS; Czech Academy of Sciences; Institute of Botany of the Czech Academy of Sciences; University of Kiel</t>
  </si>
  <si>
    <t>Univ Hohenheim, Inst Soil Sci, Emil Wolff Str 27, D-70599 Stuttgart, Germany.</t>
  </si>
  <si>
    <t>tscherko@uni-hohenheim.de</t>
  </si>
  <si>
    <t>Turan, Veysel/G-7722-2011; Elster, Josef/B-1031-2008</t>
  </si>
  <si>
    <t>Kandeler, Ellen/0000-0002-2854-0012; Elster, Josef/0000-0002-4535-5636</t>
  </si>
  <si>
    <t>10.1657/1523-0430(2003)035[0034:BAEAOT]2.0.CO;2</t>
  </si>
  <si>
    <t>WOS:000181915900005</t>
  </si>
  <si>
    <t>Anthelme, F; Michalet, R; Barbaro, L; Brun, JJ</t>
  </si>
  <si>
    <t>Environmental and spatial influences of shrub cover (Alnus viridis DC.) on vegetation diversity at the upper treeline in the inner western Alps</t>
  </si>
  <si>
    <t>PLANT-SPECIES RICHNESS; PINUS-CEMBRA; FRENCH ALPS; GREEN ALDER; COMMUNITIES; GROWTH; DOMINANCE; DYNAMICS; PATTERNS</t>
  </si>
  <si>
    <t>Subalpine grasslands in the western Alps are currently facing major environmental changes induced by pastoral disuse. In such a context, the rapid spread of a shrub (Alnus viridis [Chaix] DC.) is expected to threaten biodiversity. The aim of this study was to assess the impact of its cover on vascular plant diversity. Data collected at several local levels (108 plots) in a representative area detected a linear decrease in species richness across an increasing A. viridis (green alder) cover gradient, whereas alder-stand beta-diversity at the community level was particularly singular. We used constrained ordination methods based on Principal Components Analysis to partial out substantial variance explained by spatial structure of samples. The resulting partial Redundancy Analysis accounted for 62.3% of the initial inertia, and the environmental effect by A. viridis cover was identified as a major cause of variance in the whole species ordination (16.1%). The expansion of A. viridis on subalpine grasslands causes considerable environmental changes which have mostly a negative effect on the conservation of vascular plant diversity in the inner part of the western Alps. However, A. viridis appears to contribute to the diversity of the subalpine belt by inducing a peculiar floristic composition.</t>
  </si>
  <si>
    <t>Cemagref Grenoble, Lab Ecol Spatiale &amp; Fonct, F-38402 St Martin Dheres, France; Univ J Fourier Grenoble, Lab Ecosyst &amp; Changements Environm, F-38041 Grenoble 9, France; INRA Pierroton, Lab Entomol Forestiere, F-33611 Gazinet, France</t>
  </si>
  <si>
    <t>INRAE; Communaute Universite Grenoble Alpes; Universite Grenoble Alpes (UGA); INRAE</t>
  </si>
  <si>
    <t>Cemagref Grenoble, Lab Ecol Spatiale &amp; Fonct, 2 Rue Papeterie,BP 76, F-38402 St Martin Dheres, France.</t>
  </si>
  <si>
    <t>anthelme@club-internet.fr</t>
  </si>
  <si>
    <t>Anthelme, Fabien/G-5042-2012</t>
  </si>
  <si>
    <t>10.1657/1523-0430(2003)035[0048:EASIOS]2.0.CO;2</t>
  </si>
  <si>
    <t>WOS:000181915900006</t>
  </si>
  <si>
    <t>Makeyev, VM; Ponomareva, DP; Pitulko, VV; Chernova, GM; Solovyeva, DV</t>
  </si>
  <si>
    <t>Vegetation and climate of the New Siberian Islands for the past 15,000 years</t>
  </si>
  <si>
    <t>This article presents paleobotanical and paleoclimatic reconstructions of the New Siberian Islands for the past 15,000 years based on data from Quaternary geology and archaeology collected in the late 1980s and early 1990s as part of research conducted by the Arctic and Antarctic Research Institute, St. Petersburg, Russia. The data were obtained from 18 reference sites from Holocene and upper Pleistocene deposits on Kotelny Island, the largest island of the New Siberian Archipelago, and from the smaller and more northerly Zhokhov Island. Conclusions are also drawn from the composition of the avian fauna recovered during the excavations of the Zhokhov archaeological site on that island. The composition of bird species is an important source of information which helps interpret the results of palynological analysis because the birds are very sensitive indicators of changes in temperature and vegetation. The palynological analysis has revealed a sequence of 13 spore-pollen complexes that have been generalized as a scheme showing a broad sequence of events in the area of survey. The complexes belonging to the early Holocene time are markedly different from the others. The most favorable conditions occurred in the time span from 10,000 to 9000 BP After 8000 yr ago the fluctuations were of lesser amplitude, and both their sequence and timing were close to those of Northern Europe, though there appear to be differences between the two areas in the range of variation.</t>
  </si>
  <si>
    <t>Arctic &amp; Antarctic Res Inst, St Petersburg 199226, Russia; St Petersburg State Univ, Fac Geog, St Petersburg 198904, Russia; Inst Hist Mat Culture, St Petersburg 191186, Russia; Lena Delta Nat Reserve, Tiksi, Sakha Republic, Russia</t>
  </si>
  <si>
    <t>Arctic &amp; Antarctic Research Institute; Saint Petersburg State University; Russian Academy of Sciences; St. Petersburg Scientific Centre of the Russian Academy of Sciences; Institute for the History of Material Culture, Russian Academy of Sciences</t>
  </si>
  <si>
    <t>Pitulko, VV (corresponding author), Arctic &amp; Antarctic Res Inst, 38 Bering St, St Petersburg 199226, Russia.</t>
  </si>
  <si>
    <t>Pitulko, Vladimir/E-2200-2015; Solovyeva, Diana/J-7302-2012; Pitulko, Vladimir/N-4009-2019</t>
  </si>
  <si>
    <t>Pitulko, Vladimir/0000-0001-5672-2756; Solovyeva, Diana/0000-0001-5076-0305</t>
  </si>
  <si>
    <t>10.1657/1523-0430(2003)035[0056:VACOTN]2.0.CO;2</t>
  </si>
  <si>
    <t>WOS:000181915900007</t>
  </si>
  <si>
    <t>Wiles, GC; McAllister, RP; Davi, NK; Jacoby, GC</t>
  </si>
  <si>
    <t>Eolian response to Little Ice Age climate change, Tana dunes, Chugach Mountains, Alaska, USA</t>
  </si>
  <si>
    <t>HOLOCENE; FLUCTUATIONS</t>
  </si>
  <si>
    <t>The late Holocene history of eolian activity in a parabolic dune complex in the northern Chugach Mountains, Alaska, is reconstructed using 80 tree-ring dates and 5 radiocarbon ages. A radiocarbon age on detrital organics shows mobilization of sands about cal yr A.D. 1260. General forest growth over the dune field area indicates that this active interval was followed by dune stabilization by A.D. 1500. The present interval of dune migration activity, reconstructed from calendar dates and radiocarbon ages on buried trees, began as early as the late A.D. 1600s, was well under way by the mid-A.D. 1700s, and continues today at a diminishing rate. Intervals of increased eolian activity correspond with pulses of the Little Ice Age as reconstructed from a well-established glacial history for the region over the last 1000 yr. Century-scale cooling in climate appears to have forced dune activity through general geomorphic instabilities of nearby glacial and fluvial-lacustrine systems. Geomorphic activity includes a combination of dynamic fluvial incision of cutbanks and release of dormant dune sands, increased wind intensity, as well as internal feedback mechanisms associated with parabolic and blowout dune dynamics. Over the past 200 yr, average rates of dune migration between 1 to 3 m yr(-1) are estimated using tree-ring dating. Observations and tree ages along the dune margins suggest that vegetative cover may now be increasing and dune stabilization may be under way.</t>
  </si>
  <si>
    <t>Coll Wooster, Dept Geol, Wooster, OH 44691 USA; Lamont Doherty Earth Observ, Tree Ring Lab, Palisades, NY 10964 USA</t>
  </si>
  <si>
    <t>University System of Ohio; College of Wooster; Columbia University</t>
  </si>
  <si>
    <t>Wiles, GC (corresponding author), Coll Wooster, Dept Geol, Wooster, OH 44691 USA.</t>
  </si>
  <si>
    <t>Davi, Nicole/0000-0002-4529-5418</t>
  </si>
  <si>
    <t>10.1657/1523-0430(2003)035[0067:ERTLIA]2.0.CO;2</t>
  </si>
  <si>
    <t>WOS:000181915900008</t>
  </si>
  <si>
    <t>Olsson, PQ; Sturm, M; Racine, CH; Romanovsky, V; Liston, GE</t>
  </si>
  <si>
    <t>Five stages of the Alaskan Arctic cold season with ecosystem implications</t>
  </si>
  <si>
    <t>WETTING FRONT ADVANCE; SNOW COVER; ACTIVE LAYER; CO2 EFFLUX; TUNDRA; WINTER; FLUXES; CARBON; TRANSPORT; MELTWATER</t>
  </si>
  <si>
    <t>We divide the Alaskan Arctic cold season into five stages based on transitions in climatological and thermophysical conditions in the atmosphere, snowpack, and soil active layer. Each of these stages has distinct characteristics which drive ecosystem processes. During the two autumnal stages (Early Snow and Early Cold) soils remain warm, unfrozen water is present, and the highest rates of cold-season soil respiration occur. The next two stages (Deep Cold and Late Cold) are characterized by a frozen active layer with decreasing temperature. Thaw is critical in determining the length of the growing season and the resumption of biological processes. Deep Cold and Late Cold result from a radiation deficit, show little interannual variation, and will be resistant to change under almost any reasonable climate change scenario. These are also the stages with the least amount of biological activity and have the least impact on the ecosystem. However, Early Snow, Early Cold and Thaw stages vary significantly from year to year have, more ecosystem implications, and are also the most likely to undergo significant change in timing and character as the arctic climate changes. This 5-fold subdivision is useful for framing discussions of biophysical interactions during the arctic winter and for focusing attention on critical cold-season periods.</t>
  </si>
  <si>
    <t>Univ Alaska Anchorage, Anchorage, AK 99577 USA; USA CRREL Alaska, Ft Wainwright, AK 99703 USA; USA CRREL, Hanover, NH 03755 USA; Univ Alaska Fairbanks, Fairbanks, AK 99775 USA; Colorado State Univ, Dept Atmospher Sci, Ft Collins, CO 80523 USA</t>
  </si>
  <si>
    <t>University of Alaska System; University of Alaska Anchorage; United States Department of Defense; United States Army; U.S. Army Corps of Engineers; U.S. Army Engineer Research &amp; Development Center (ERDC); Cold Regions Research &amp; Engineering Laboratory (CRREL); United States Department of Defense; United States Army; U.S. Army Corps of Engineers; U.S. Army Engineer Research &amp; Development Center (ERDC); Cold Regions Research &amp; Engineering Laboratory (CRREL); University of Alaska System; University of Alaska Fairbanks; Colorado State University</t>
  </si>
  <si>
    <t>Univ Alaska Anchorage, 2811 Merrill Field Dr, Anchorage, AK 99577 USA.</t>
  </si>
  <si>
    <t>Sturm, Matthew/GXF-6926-2022</t>
  </si>
  <si>
    <t>10.1657/1523-0430(2003)035[0074:FSOTAA]2.0.CO;2</t>
  </si>
  <si>
    <t>WOS:000181915900009</t>
  </si>
  <si>
    <t>McClung, DM</t>
  </si>
  <si>
    <t>Magnitude and frequency of avalanches in relation to terrain and forest cover</t>
  </si>
  <si>
    <t>This paper contains an analysis of magnitude and frequency of avalanches in relation to terrain and forest cover variables. The analysis was applied to 194 avalanche paths in four avalanche areas along highways in British Columbia with approximately 25,000 avalanches recorded. The magnitude and frequency for the avalanche paths were estimated from data collected along the highways by avalanche technicians. Results show that mean magnitude and mean frequency are weakly correlated for a set of avalanche paths in an avalanche area. In addition, with magnitude and frequency viewed as response variables, magnitude and frequency correlate with different sets of predictor variables from one area to another. This paper contains the first comparison of variables which correlate with magnitude and frequency from one avalanche area to another. The results show that previous studies conducted for single areas are simplistic. However, there is some consistency between areas. Avalanche frequency is most directly related to terrain steepness and snow supply. Average avalanche magnitude appears related to terrain steepness, starting zone, and track confinement and the scale (e.g., total vertical drop of the path) with only indirect evidence for a link to snow supply.</t>
  </si>
  <si>
    <t>Univ British Columbia, Dept Geog, Vancouver, BC V6T 1Z2, Canada</t>
  </si>
  <si>
    <t>McClung, DM (corresponding author), Univ British Columbia, Dept Geog, Vancouver, BC V6T 1Z2, Canada.</t>
  </si>
  <si>
    <t>10.1657/1523-0430(2003)035[0082:MAFOAI]2.0.CO;2</t>
  </si>
  <si>
    <t>WOS:000181915900010</t>
  </si>
  <si>
    <t>Gooseff, MN; Barrett, JE; Doran, PT; Fountain, AG; Lyons, WB; Parsons, AN; Porazinska, DL; Virginia, RA; Wall, DH</t>
  </si>
  <si>
    <t>Snow-patch influence on soil biogeochemical processes and invertebrate distribution in the McMurdo Dry Valleys, Antarctica</t>
  </si>
  <si>
    <t>TAYLOR VALLEY; COMMUNITY STRUCTURE; ORGANIC-CARBON; DESERT SOILS; NITROGEN; PRODUCTIVITY; BIODIVERSITY; ENVIRONMENT; MOUNTAINS; NEMATODES</t>
  </si>
  <si>
    <t>The McMurdo Dry Valleys is the largest of the ice-free areas in Antarctica. Precipitation events in excess of I cm of snow accumulation are rare. During the winter, snow is transported by strong katabatic winds blowing from the polar plateau, and deposited into the lee of topographic features (e.g., stream channels and other topographic depressions). At the start of the austral summer (early October), as much as 10% of the valley soils may be covered by distributed snow patches. Because liquid water is the primary driver of biological, physical, and chemical processes in this polar desert, quantifying fluxes of water from snow patches is important to understanding the influence of hydrology on soil biology and nutrient cycling. During the austral summer of 1999-2000, four snow patches that had developed during the previous winter in Taylor Valley were studied. We measured snow-patch area, depth, and snow water equivalent, as well as subnivian (under snow) and nearby exposed (control) soil temperature, light intensity, soil moisture, invertebrate abundance, soil organic matter content, and 95-d labile pools of C and N. Subnivian soils differed from exposed soils being as much as 26.8degreesC colder than exposed soils; average soil moisture ranging from 6.9 to 13.6% compared to 0.4% in exposed soils; soil invertebrate populations exceeding 7900 individuals kg(-1) dry soil versus less than 1200 individuals kg(-1) dry soil in exposed soils; and soil invertebrate species richness values greater than 2 taxa, compared to 1.3 taxa in exposed soils. The results of this study show that these seasonal, sparse snow patches may be an important source of moisture and control habitat of soil ecosystems in this extreme environment.</t>
  </si>
  <si>
    <t>Univ Colorado, Inst Arctic &amp; Alpine Res, Boulder, CO 80309 USA; Dartmouth Coll, Environm Studies Program, Hanover, NH 03755 USA; Univ Illinois, Dept Earth &amp; Environm Sci, Chicago, IL 60607 USA; Portland State Univ, Dept Geol, Portland, OR 97207 USA; Ohio State Univ, Byrd Polar Res Ctr, Columbus, OH 43210 USA; Colorado State Univ, Nat Resource Ecol Lab, Ft Collins, CO 80523 USA</t>
  </si>
  <si>
    <t>University of Colorado System; University of Colorado Boulder; Dartmouth College; University of Illinois System; University of Illinois Chicago; University of Illinois Chicago Hospital; Portland State University; University System of Ohio; Ohio State University; Colorado State University</t>
  </si>
  <si>
    <t>Utah State Univ, Dept Aquat Watershed &amp; Earth Resources, Logan, UT 84322 USA.</t>
  </si>
  <si>
    <t>Wall, Diana H/F-5491-2011; Gooseff, Michael N/N-6087-2015; Gooseff, Michael/B-9273-2008; Barrett, John/D-5851-2016</t>
  </si>
  <si>
    <t>Gooseff, Michael N/0000-0003-4322-8315; Barrett, John/0000-0002-7610-0505</t>
  </si>
  <si>
    <t>10.1657/1523-0430(2003)035[0091:SPIOSB]2.0.CO;2</t>
  </si>
  <si>
    <t>Green Submitted, hybrid</t>
  </si>
  <si>
    <t>WOS:000181915900011</t>
  </si>
  <si>
    <t>Klaus, M</t>
  </si>
  <si>
    <t>The status, habitat, and response to grazing of water vole populations in the Big Horn Mountains of Wyoming, USA</t>
  </si>
  <si>
    <t>RIPARIAN ECOSYSTEMS; VEGETATIVE COVER; STREAM; MAMMALS</t>
  </si>
  <si>
    <t>Microtus richardsoni, the water vole, was listed as a sensitive species in Region 2 of the USDA Forest Service in 1994. Historical records indicate water voles were found in the Big Horn Mountains, but little was known about their current status. The purpose of this study was to locate water voles in the Big Horn Mountains of Wyoming, develop a habitat profile, and evaluate the extent to which livestock grazing affects them. Accessible creeks with habitat requirements for water voles were surveyed. Water voles were not captured below 2440 m. Grazed and ungrazed sites occupied by water voles were matched and analyzed for percent plant cover, dry weight biomass, riparian classification, mean stream depth, channel type, elevation, precipitation, and temperature. Capture success was significantly greater in ungrazed areas. Percent cover by ferns and thallophytes was significantly greater in areas where water voles were more abundant, and bare ground was significantly greater at grazed locations. Water voles were most abundant on Rosgen B or E streams with a willow/wet Carex riparian class that is found on relatively undisturbed sites with stable, well-developed soils and bank structure. In the Big Horn Mountains, water vole captures were low in comparison to the Beartooth Mountains and synergistic effects of grazing and drying might negatively impact this species.</t>
  </si>
  <si>
    <t>Sheridan Coll, Div Nat Sci, Sheridan, WY 82801 USA</t>
  </si>
  <si>
    <t>Klaus, M (corresponding author), Sheridan Coll, Div Nat Sci, 3059 Coffeen Ave, Sheridan, WY 82801 USA.</t>
  </si>
  <si>
    <t>10.1657/1523-0430(2003)035[0100:TSHART]2.0.CO;2</t>
  </si>
  <si>
    <t>WOS:000181915900012</t>
  </si>
  <si>
    <t>Rühland, K; Priesnitz, A; Smol, JP</t>
  </si>
  <si>
    <t>Paleolimnological evidence from diatoms for recent environmental changes in 50 lakes across Canadian arctic treeline</t>
  </si>
  <si>
    <t>REMOTE MOUNTAIN LAKES; WATER-QUALITY CHANGES; CLIMATE-CHANGE; SPATIAL TRENDS; FOREST-TUNDRA; ALPINE LAKES; RECORDS; VARIABILITY; SAANAJARVI; DEPOSITION</t>
  </si>
  <si>
    <t>Changes in diatom assemblage composition since preindustrial times were analyzed in a landscape paleolimnological study of 50 lakes and also in a more detailed analysis of a dated sediment core from Slipper Lake in the Canadian central arctic treeline region. The most apparent taxonomic shift was toward a higher relative abundance of the planktonic Cyclotella stelligera complex and a lower relative abundance of benthic Fragilaria taxa (F. pinnata, F. construens var. venter, F. construens, and F. brevistriata) in the modem versus the older sediments. Diatom assemblage composition in Slipper Lake recorded a marked change in the top 5.0 cm (ca. mid-1800s) of the core with a clear shift to a more planktonic diatom assemblage characterized by higher percentages of the Cyclotella stelligera complex. Possible causative factors, such as recent anthropogenic acidification, nutrient enrichment, or atmospheric deposition of contaminants, do not appear sufficient to explain these species changes. Instead, these recent assemblage shifts are consistent with limnological changes occurring with climatic warming, such as a shorter duration of ice cover, a longer growing season, and/or stronger thermal stratification patterns.</t>
  </si>
  <si>
    <t>Queens Univ, Dept Biol, Paleoecol Environm Assessment &amp; Res Lab, Kingston, ON K7L 3N6, Canada</t>
  </si>
  <si>
    <t>Queens University - Canada</t>
  </si>
  <si>
    <t>Queens Univ, Dept Biol, Paleoecol Environm Assessment &amp; Res Lab, Kingston, ON K7L 3N6, Canada.</t>
  </si>
  <si>
    <t>smolj@biology.queensu.ca</t>
  </si>
  <si>
    <t>Smol, John P/A-8838-2015</t>
  </si>
  <si>
    <t>Smol, John/0000-0002-2499-6696</t>
  </si>
  <si>
    <t>10.1657/1523-0430(2003)035[0110:PEFDFR]2.0.CO;2</t>
  </si>
  <si>
    <t>WOS:000181915900013</t>
  </si>
  <si>
    <t>Cooper, DJ</t>
  </si>
  <si>
    <t>Beatrice E. Willard - 19 December 1925 7 January 2003 - In memoriam</t>
  </si>
  <si>
    <t>Biographical-Item</t>
  </si>
  <si>
    <t>Colorado State Univ, Dept Forest Rangeland &amp; Watershed Stewardship, Ft Collins, CO 80521 USA</t>
  </si>
  <si>
    <t>Colorado State University</t>
  </si>
  <si>
    <t>Cooper, DJ (corresponding author), Colorado State Univ, Dept Forest Rangeland &amp; Watershed Stewardship, Ft Collins, CO 80521 USA.</t>
  </si>
  <si>
    <t>10.1657/1523-0430(2003)035[0125:BEWDJ]2.0.CO;2</t>
  </si>
  <si>
    <t>WOS:000181915900014</t>
  </si>
  <si>
    <t>Novak, G; Chuss, DT; Renbarger, T; Griffin, GS; Newcomb, MG; Peterson, JB; Loewenstein, RF; Pernic, D; Dotson, JL</t>
  </si>
  <si>
    <t>First results from the submillimeter polarimeter for Antarctic remote observations: Evidence of large-scale toroidal magnetic fields in the Galactic center</t>
  </si>
  <si>
    <t>ASTROPHYSICAL JOURNAL</t>
  </si>
  <si>
    <t>Galaxy : center; ISM : magnetic fields; polarization</t>
  </si>
  <si>
    <t>RADIO ARC; POLARIZATION; FILAMENTS</t>
  </si>
  <si>
    <t>We have observed the linear polarization of 450 mum continuum emission from the Galactic center, using a new polarimetric detector system that is operated on a 2 m telescope at the South Pole. The resulting polarization map extends similar to170 pc along the Galactic plane and similar to30 pc in Galactic latitude, and thus covers a significant fraction of the central molecular zone. Our map shows that this region is permeated by large-scale toroidal magnetic fields. We consider our results together with radio observations that show evidence of poloidal fields in the Galactic center and with Faraday rotation observations. We compare all of these observations with the predictions of a magnetodynamic model for the Galactic center that was proposed in order to explain the Galactic Center Radio Lobe as a magnetically driven gas outflow. We conclude that the observations are fundamentally consistent with the model.</t>
  </si>
  <si>
    <t>Northwestern Univ, Dept Phys &amp; Astron, Evanston, IL 60208 USA; Carnegie Mellon Univ, Dept Phys, Pittsburgh, PA 15213 USA; Univ Chicago, Yerkes Observ, Williams Bay, WI 53191 USA; NASA, Ames Res Ctr, Moffett Field, CA 94035 USA</t>
  </si>
  <si>
    <t>Northwestern University; Carnegie Mellon University; University of Chicago; National Aeronautics &amp; Space Administration (NASA); NASA Ames Research Center</t>
  </si>
  <si>
    <t>Northwestern Univ, Dept Phys &amp; Astron, 2145 Sheridan Rd, Evanston, IL 60208 USA.</t>
  </si>
  <si>
    <t>g-novak@northwestern.edu</t>
  </si>
  <si>
    <t>Chuss, David T/D-8281-2012; Dotson, Jennifer L/G-3778-2012; Peterson, Jeffrey/O-4794-2014</t>
  </si>
  <si>
    <t>Chuss, David/0000-0003-0016-0533; Peterson, Jeffrey/0000-0003-1340-818X</t>
  </si>
  <si>
    <t>0004-637X</t>
  </si>
  <si>
    <t>1538-4357</t>
  </si>
  <si>
    <t>ASTROPHYS J</t>
  </si>
  <si>
    <t>Astrophys. J.</t>
  </si>
  <si>
    <t>FEB 1</t>
  </si>
  <si>
    <t>L83</t>
  </si>
  <si>
    <t>L86</t>
  </si>
  <si>
    <t>10.1086/368156</t>
  </si>
  <si>
    <t>639NR</t>
  </si>
  <si>
    <t>WOS:000180636500009</t>
  </si>
  <si>
    <t>Li, Q; James, NP; McGowran, B</t>
  </si>
  <si>
    <t>Middle and Late Eocene Great Australian Bight lithobiostratigraphy and stepwise evolution of the southern Australian continental margin</t>
  </si>
  <si>
    <t>AUSTRALIAN JOURNAL OF EARTH SCIENCES</t>
  </si>
  <si>
    <t>Australo-Antarctic Gulf; carbonate; Eocene; Eucla Basin; foraminifers; Great Australian Bight; Oligocene; sea-floor spreading; sea-level</t>
  </si>
  <si>
    <t>COOL-WATER; FORAMINIFERAL BIOFACIES; EUCLA PLATFORM; OTWAY BASIN; SHELF; BIOSTRATIGRAPHY; LIMESTONE; TERTIARY; EVENTS; OCEAN</t>
  </si>
  <si>
    <t>Middle to Upper Eocene carbonates recovered at ODP Leg 182 sites from the Great Australian Bight comprise three packages: (i) a 43-40 Ma quartzose limestone and packstone package; (ii) a 39-37 Ma wackestone package with ooze; and (iii) an Upper Eocene fine-grained wackestone package mainly 36.5-35 Ma in age. Bounding these sediment packages are unconformities inferred to have occurred at ca 43, ca 39, ca 37 and ca 34 Ma, coinciding with four major third-order sequence boundaries. Rapid changes in sea-floor spreading probably caused these unconformities, while a stable high sea-level between spreading pulses led to sediment packaging from offshore to coastal basins. The regional sea-level changes in these Middle to Late Eocene times, when glacioeustatic influence was minimal, were mainly driven by plate tectonics. Biofacies indicate a rapid subsidence, faster offshore than nearshore, during the first phase of accelerated sea-floor spreading between Australia and Antarctica around 43 Ma. Most significant environmental changes affecting sedimentation along the southern Australian margin at that time were the influx of warm waters from the Indian Ocean and the initial development of a stratified water mass in the deepening and widening Australo-Antarctic Gulf. The warm (surface) water supported plankton from the subtropics and migratory and endemic larger benthos including foraminifers, while the fertile deeper waters were sites of chert accumulation. The bloom of carbonate-generating bryozoans contributed to widespread carbonate sedimentation that progressed towards the southeastern margin similar to4 million years later. Subsequent carbonate packaging and unconformities, reflecting a stepwise accelerated sea-floor spreading pattern, persisted into the terminal Eocene before the onset of global glaciation.</t>
  </si>
  <si>
    <t>Univ Adelaide, Dept Geol &amp; Geophys, Adelaide, SA 5005, Australia; Queens Univ, Dept Geol Sci, Kingston, ON K7L 3N6, Canada</t>
  </si>
  <si>
    <t>University of Adelaide; Queens University - Canada</t>
  </si>
  <si>
    <t>Li, Q (corresponding author), Univ Adelaide, Dept Geol &amp; Geophys, Adelaide, SA 5005, Australia.</t>
  </si>
  <si>
    <t>0812-0099</t>
  </si>
  <si>
    <t>AUST J EARTH SCI</t>
  </si>
  <si>
    <t>Aust. J. Earth Sci.</t>
  </si>
  <si>
    <t>10.1046/j.1440-0952.2003.00978.x</t>
  </si>
  <si>
    <t>641PM</t>
  </si>
  <si>
    <t>WOS:000180754200010</t>
  </si>
  <si>
    <t>Ko, TP; Robinson, H; Gao, YG; Cheng, CHC; DeVries, AL; Wang, AHJ</t>
  </si>
  <si>
    <t>The refined crystal structure of an eel pout type III antifreeze protein RD1 at 0.62-A resolution reveals structural microheterogeneity of protein and solvation</t>
  </si>
  <si>
    <t>BIOPHYSICAL JOURNAL</t>
  </si>
  <si>
    <t>ICE-BINDING; CRYSTALLOGRAPHY; MOLSCRIPT; INCLUDES; PROGRAM; GENES</t>
  </si>
  <si>
    <t>RD1 is a 7-kDa globular protein from the Antarctic eel pout Lycodichthys dearborni. It belongs to type III of the four types of antifreeze proteins (AFPs) found in marine fishes living at subzero temperatures. For type III AFP, a potential ice-binding flat surface has been identified and is imbedded with side chains capable of making hydrogen bonds with a specific lattice plane on ice. So far, all crystallographic studies on type III AFPs were carried out using the Atlantic ocean pout Macrozoarces americanus as the source organism. Here we present the crystal structure of a type III AFP from a different zoarcid fish, and at an ultra-high resolution of 0.62 Angstrom. The protein fold of RD1 comprises a compact globular domain with two internal tandem motifs arranged about a pseudo-dyad symmetry. Each motif of the pretzel fold includes four short beta-strands and a 3(10) helix. There is a novel internal cavity of 45 Angstrom(3) surrounded by eight conserved nonpolar residues. The model contains several residues with alternate conformations, and a number of split water molecules, probably caused by alternate interactions with the protein molecule. After extensive refinement that includes hydrogen atoms, significant residual electron densities associated with the electrons of peptides and many other bonds could be visualized.</t>
  </si>
  <si>
    <t>Acad Sinica, Inst Biol Chem, Taipei 11529, Taiwan; Univ Illinois, Dept Anim Biol, Urbana, IL 61801 USA</t>
  </si>
  <si>
    <t>Academia Sinica - Taiwan; University of Illinois System; University of Illinois Urbana-Champaign</t>
  </si>
  <si>
    <t>Acad Sinica, Inst Biol Chem, Taipei 11529, Taiwan.</t>
  </si>
  <si>
    <t>ahjwang@gate.sinica.edu.tw</t>
  </si>
  <si>
    <t>0006-3495</t>
  </si>
  <si>
    <t>1542-0086</t>
  </si>
  <si>
    <t>BIOPHYS J</t>
  </si>
  <si>
    <t>Biophys. J.</t>
  </si>
  <si>
    <t>10.1016/S0006-3495(03)74938-8</t>
  </si>
  <si>
    <t>Biophysics</t>
  </si>
  <si>
    <t>682ZV</t>
  </si>
  <si>
    <t>Green Published, hybrid</t>
  </si>
  <si>
    <t>WOS:000183123700047</t>
  </si>
  <si>
    <t>Researchers uncover extreme lake in antarctic environment</t>
  </si>
  <si>
    <t>649CH</t>
  </si>
  <si>
    <t>WOS:000181189000002</t>
  </si>
  <si>
    <t>Gomberg, J; Bodin, P; Reasenberg, PA</t>
  </si>
  <si>
    <t>Observing earthquakes triggered in the near field by dynamic deformations</t>
  </si>
  <si>
    <t>BULLETIN OF THE SEISMOLOGICAL SOCIETY OF AMERICA</t>
  </si>
  <si>
    <t>SUPERSTITION HILLS EARTHQUAKE; ANTARCTIC PLATE EARTHQUAKE; STRESS-STRAIN CHANGES; STRONG-MOTION DATA; 1999 HECTOR MINE; 1983 BORAH PEAK; 4 FEBRUARY 1976; SLIP HISTORY; MARCH 25; REGIONAL SEISMICITY</t>
  </si>
  <si>
    <t>We examine the hypothesis that dynamic deformations associated with seismic waves trigger earthquakes in many tectonic environments. Our analysis focuses on seismicity at close range (within the aftershock zone), complementing published studies of long-range triggering: Our results suggest that dynamic triggering is not confined to remote distances or to geothermal and volcanic regions. Long unilaterally propagating ruptures may focus radiated dynamic deformations in the propagation direction. Therefore, we expect seismicity triggered dynamically by a directive rupture to occur asymmetrically, with a majority of triggered earthquakes in the direction of rupture propagation. Bilaterally propagating ruptures also may be directive, and we propose simple criteria for assessing their directivity. We compare the inferred rupture direction and observed seismicity rate change following 15 earthquakes (M 5.7 to M 8.1) that occurred in California and Idaho in the United States, the Gulf of Aqaba, Syria, Guatemala, China, New Guinea, Turkey, Japan; Mexico, and Antarctica. Nine of these mainshocks had clearly directive, unilateral ruptures. Of these nine, seven apparently induced an asymmetric increase in seismicity rate that correlates with the rupture direction. The two exceptions include an earthquake preceded by a comparable-magnitude event on a conjugate fault and another for which data limitations prohibited conclusive results. Similar (but weaker) correlations were found for the bilaterally rupturing earthquakes we studied. Although the static stress change also may trigger seismicity, it and the seismicity it triggers are expected to be similarly asymmetric only if the final slip is skewed toward the rupture terminus. For several of the directive earthquakes, we suggest that the seismicity rate change correlates better with the dynamic stress field than the static stress change.</t>
  </si>
  <si>
    <t>US Geol Survey, Ctr Earthquake Res &amp; Informat, Memphis, TN 38152 USA; Univ Memphis, Ctr Earthquake Res &amp; Informat, Memphis, TN 38152 USA; US Geol Survey, Menlo Pk, CA 94025 USA</t>
  </si>
  <si>
    <t>United States Department of the Interior; United States Geological Survey; University of Memphis; United States Department of the Interior; United States Geological Survey</t>
  </si>
  <si>
    <t>Gomberg, J (corresponding author), US Geol Survey, Ctr Earthquake Res &amp; Informat, 3876 Cent Ave,Suite 2, Memphis, TN 38152 USA.</t>
  </si>
  <si>
    <t>SEISMOLOGICAL SOC AMER</t>
  </si>
  <si>
    <t>EL CERRITO</t>
  </si>
  <si>
    <t>PLAZA PROFESSIONAL BLDG, SUITE 201, EL CERRITO, CA 94530 USA</t>
  </si>
  <si>
    <t>0037-1106</t>
  </si>
  <si>
    <t>B SEISMOL SOC AM</t>
  </si>
  <si>
    <t>Bull. Seismol. Soc. Amer.</t>
  </si>
  <si>
    <t>10.1785/0120020075</t>
  </si>
  <si>
    <t>662WH</t>
  </si>
  <si>
    <t>WOS:000181971700009</t>
  </si>
  <si>
    <t>Milette, LL; Trites, AW</t>
  </si>
  <si>
    <t>Maternal attendance patterns of Steller sea lions (Eumetopias jubatus) from stable and declining populations in Alaska</t>
  </si>
  <si>
    <t>CANADIAN JOURNAL OF ZOOLOGY-REVUE CANADIENNE DE ZOOLOGIE</t>
  </si>
  <si>
    <t>ANTARCTIC FUR SEALS; EL-NINO; PUP BEHAVIOR; VARIABILITY; BUDGETS; DIET</t>
  </si>
  <si>
    <t>Maternal attendance patterns of Alaskan Steller sea lions (Eumetopias jubatus) were compared during the summer breeding seasons in 1994 and 1995 at Sugarloaf Island (a declining population) and Lowrie Island (a stable population). Our goal was to determine whether there were differences in maternal attendance between the two populations that were consistent with the hypothesis that lactating Steller sea lions in the area of decline were food-limited during summer. Our a priori expectations were based on well-documented behavioural responses of otariids to reduced prey availability. We found that foraging trips were significantly shorter in the area of population decline, counter to initial predictions. The mean length of foraging trips in the declining area was 19.5 h compared with 24.9 h in the stable area. In contrast, the mean perinatal period (time between parturition and first feeding trip) was significantly longer in the area of decline (9.9 versus 7.9 days), again countering initial predictions. The mean length of shore visits for the declining population was also significantly longer (27.0 h compared with 22.6 h where the population was stable). For both populations, the mean time that mothers foraged increased as pups grew older, whereas the time that they spent on shore with their pups became shorter. Behavioural observations of maternal attendance patterns are inconsistent with the hypothesis that lactating Steller sea lions from the declining population had difficulty obtaining prey during summer.</t>
  </si>
  <si>
    <t>Univ British Columbia, Fisheries Ctr, Marine Mammal Res Unit, Vancouver, BC V6T 1Z4, Canada; Univ British Columbia, Dept Zool, Vancouver, BC V6T 1Z4, Canada</t>
  </si>
  <si>
    <t>University of British Columbia; University of British Columbia</t>
  </si>
  <si>
    <t>Trites, AW (corresponding author), Univ British Columbia, Fisheries Ctr, Marine Mammal Res Unit, 6248 Biol Sci Rd, Vancouver, BC V6T 1Z4, Canada.</t>
  </si>
  <si>
    <t>NATL RESEARCH COUNCIL CANADA</t>
  </si>
  <si>
    <t>RESEARCH JOURNALS, MONTREAL RD, OTTAWA, ONTARIO K1A 0R6, CANADA</t>
  </si>
  <si>
    <t>Can. J. Zool.-Rev. Can. Zool.</t>
  </si>
  <si>
    <t>10.1139/Z03-008</t>
  </si>
  <si>
    <t>664UU</t>
  </si>
  <si>
    <t>WOS:000182080900019</t>
  </si>
  <si>
    <t>Metillo, EB; Ritz, DA</t>
  </si>
  <si>
    <t>Differential chemosensory feeding behaviour by three co-occurring mysids (Crustacea, Mysidacea) from southeastern Tasmania</t>
  </si>
  <si>
    <t>Mysidacea; chemoreception; behaviour; feeding niche partitioning; glycine; betaine-HCl; ammonium</t>
  </si>
  <si>
    <t>AMINO-ACIDS; PALAEMONETES-PUGIO; EUPHAUSIA-SUPERBA; ANTARCTIC KRILL; CHEMORECEPTION; COPEPODS; SHRIMP; MIXTURES; BETAINE; KELP</t>
  </si>
  <si>
    <t>Three mysid species showed differences in chemosensory feeding as judged from stereotyped food capturing responses to dissolved mixtures of feeding stimulant (either betaine-HCl or glycine) and suppressant (ammonium). The strongest responses were to 50:50 mixtures of both betaine-ammonium and glycine-ammonium solutions. In general, the response curve to the different mixtures tested was bell-shaped. Anisomysis mixta australis only showed the normal curve in response to the glycine-ammonium mixture. The platykurtic curve for Tenagomysis tasmaniae suggests a less optimal response to the betaine-HCl-ammonium solution. Paramesopodopsis rufa reacted more strongly to the betaine-ammonium than to the glycine-ammonium solutions, and more individuals of this species responded to both solutions than the other two species. It is suggested that these contrasting chemosensitivities of the three coexisting mysid species serve as a means of partitioning the feeding niche. (C) 2002 Elsevier Science Inc. All rights reserved.</t>
  </si>
  <si>
    <t>Univ Tasmania, Sch Zool, Hobart, Tas 7001, Australia</t>
  </si>
  <si>
    <t>Ritz, DA (corresponding author), Univ Tasmania, Sch Zool, GPO Box 52505, Hobart, Tas 7001, Australia.</t>
  </si>
  <si>
    <t>David.Ritz@utas.edu.au</t>
  </si>
  <si>
    <t>METILLO, EPHRIME B./AAF-6497-2020</t>
  </si>
  <si>
    <t>METILLO, EPHRIME B./0000-0001-7162-9891</t>
  </si>
  <si>
    <t>PII S1095-6433(02)00293-3</t>
  </si>
  <si>
    <t>10.1016/S1095-6433(02)00293-3</t>
  </si>
  <si>
    <t>654YX</t>
  </si>
  <si>
    <t>WOS:000181525500018</t>
  </si>
  <si>
    <t>Pellegrino, D; Acierno, R; Tota, B</t>
  </si>
  <si>
    <t>Control of cardiovascular function in the icefish Chionodraco hamatus:: involvement of serotonin and nitric oxide</t>
  </si>
  <si>
    <t>Antarctic fish; acetylcholine; serotonin; gill hemodynamics; heart; nitric oxide; notothenioidei</t>
  </si>
  <si>
    <t>ANTARCTIC FISH; CARDIAC-PERFORMANCE; RAINBOW-TROUT; BLOOD-FLOW; HEART; CIRCULATION; TELEOSTS; ENDOTHELIUM; BERNACCHII; LONNBERG</t>
  </si>
  <si>
    <t>The involvement of nitric oxide (NO) in the branchial circulation and cardiac performance of the Antarctic hemoglobinless icefish Chionodraco hamatus was investigated using isolated and perfused head and working heart preparations. In the branchial vasculature under basal (i.e. unstimulated conditions), the nitric oxide synthase (NOS) inhibitor L-NIO (L-N-5-(1-iminoethyl) ornithine, 10(-5) and 10(-4) M), caused a marked vasoconstriction (20%), indicating a basal nitrergic vasodilator tone, while the dose-response curve of the NO donor SIN-1 (3-morpholinosydnonimine) showed a dose-dependent vasodilator effect. Acetylcholine induced a dose-dependent branchial vasoconstriction mediated by muscarinic receptors, since the effects were abolished by pre-treatment with atropine (10(-4) M). Serotonin (5-HT) induced a dose-dependent branchial methysergide-sensitive vasoconstriction which was abolished by pre-treatment with L-NIO, indicating a NO-dependent mechanism. On the isolated heart, the NOS inhibitor L-NMMA (N-G-monomethyl-L-arginine) 10(-4) M produced a small, but significant decrease of heart rate and, as a consequence, a decrease of power output, while the NO donor sodium nitroprusside (SNP) 10(-4) M elicited increases of stroke volume, stroke work and power output, suggesting an exogenous NO-dependent positive inotropism. Exposure of the bulbus arteriosus to L-NMMA was without any appreciable effect. In contrast, SNP produced a notable relaxation of the bulbus wall with a marked increase of its stiffness, as indicated by the increase of systolic and diastolic dP/dt max (23 and 104%, respectively). (C) 2002 Elsevier Science Inc. All rights reserved.</t>
  </si>
  <si>
    <t>Univ Calabria, Dept Cell Biol, I-87030 Arcavacata Di Rende, CS, Italy; Univ Lecce, Dept Biol, I-73100 Lecce, Italy; Staz Zool Anton Dohrn, I-80121 Naples, Italy</t>
  </si>
  <si>
    <t>University of Calabria; University of Salento; Stazione Zoologica Anton Dohrn di Napoli</t>
  </si>
  <si>
    <t>Tota, B (corresponding author), Univ Calabria, Dept Cell Biol, I-87030 Arcavacata Di Rende, CS, Italy.</t>
  </si>
  <si>
    <t>tota@unical.it</t>
  </si>
  <si>
    <t>Pellegrino, Daniela/0000-0002-9815-5195</t>
  </si>
  <si>
    <t>PII S1095-6433(02)00324-0</t>
  </si>
  <si>
    <t>10.1016/S1095-6433(02)00324-0</t>
  </si>
  <si>
    <t>WOS:000181525500025</t>
  </si>
  <si>
    <t>Best, NJ; Bradshaw, CJA; Hindell, MA; Nichols, PD</t>
  </si>
  <si>
    <t>Vertical stratification of fatty acids in the blubber of southern elephant seals (Mirounga leonina):: implications for diet analysis</t>
  </si>
  <si>
    <t>phocid; pinniped; blubber; fatty acid signature analysis; diet composition; southern elephant seal; stratification; insulation</t>
  </si>
  <si>
    <t>ANTARCTIC FUR SEALS; FORAGING ECOLOGY; CLASSIFICATION TREES; HALICHOERUS-GRYPUS; DIVING BEHAVIOR; MARINE MAMMALS; PHOCID SEALS; GREY SEALS; SIGNATURES; WHALES</t>
  </si>
  <si>
    <t>Fatty acid signature analysis (FASA) is a powerful ecological tool that uses essential fatty acids (FA) from the tissues of animals to indicate aspects of diet. However, the presence of vertical stratification in FA distribution throughout blubber complicates the application of FASA to marine mammals. Blubber biopsy samples were collected-from adult female southern elephant seals (Mirounga leonina) from Macquarie Island (n = 11), and blubber cores were. divided into inner and outer sections to determine the degree to which the blubber layer was stratified in FA composition, we found 19 FA from both blubber layers in greater than trace amounts (&gt;0.5%). The inner and outer blubber layers could be separated using principal components analysis based on the relative proportion of FA in each layer. Dietary polyunsaturated fatty acids (PUFA) were also observed in significantly higher proportions in the inner blubber layer. Due to the degree of FA stratification in southern elephant seals, we concur with other marine mammal studies that sampling only the outer blubber layer will result in a loss of recently accumulated information regarding diet structure (as indicated by,surplus' PUFA from the diet). This finding suggests that differential mobilization/deposition of certain FA may result in a modified signature from prey to predator. Thus, sampling animals to recover the inner blubber layer is important for studies attempting to describe aspects of marine mammal diet. This can be achieved in animals such as pinnipeds where the whole blubber layer can be readily sampled. (C) 2002 Elsevier Science Inc. All rights reserved.</t>
  </si>
  <si>
    <t>Univ Tasmania, Sch Zool, Antarctic Wildlife Res Unit, Hobart, Tas 7001, Australia; CSIRO, Hobart, Tas 7001, Australia; Univ Tasmania, Antarctic CRC, Hobart, Tas 7001, Australia</t>
  </si>
  <si>
    <t>Bradshaw, CJA (corresponding author), Univ Tasmania, Sch Zool, Antarctic Wildlife Res Unit, GPO Box 252-05, Hobart, Tas 7001, Australia.</t>
  </si>
  <si>
    <t>Hindell, Mark A/C-8368-2013; Nichols, Peter D/C-5128-2011; Hindell, Mark A/K-1131-2013; Bradshaw, Corey J. A./A-1311-2008</t>
  </si>
  <si>
    <t>PII S1096-4959(02)00252-X</t>
  </si>
  <si>
    <t>10.1016/S1096-4959(02)00252-X</t>
  </si>
  <si>
    <t>647LG</t>
  </si>
  <si>
    <t>WOS:000181093800006</t>
  </si>
  <si>
    <t>Ainley, DG; Ballard, G; Barton, KJ; Karl, BJ; Rau, GH; Ribic, CA; Wilson, PR</t>
  </si>
  <si>
    <t>Spatial and temporal variation of diet within a presumed metapopulation of Adelie Penguins</t>
  </si>
  <si>
    <t>CONDOR</t>
  </si>
  <si>
    <t>Adelie Penguin; Antarctic; colony choice; diet variation; diet quality; Pygoscelis adeliae; stable isotope</t>
  </si>
  <si>
    <t>STABLE-ISOTOPE ANALYSIS; FAST SEA-ICE; TROPHIC RELATIONSHIPS; ROSS-SEA; FORAGING BEHAVIOR; MCMURDO SOUND; ANTARCTICA; SEABIRDS; COLONY; SIZE</t>
  </si>
  <si>
    <t>We investigated temporal and spatial variability in the diet of chick-provisioning Adelie Penguins (Pygoscelis adeliae) breeding at all colonies within one isolated cluster in the southwestern Ross Sea, Antarctica, 1994-2000. We wished to determine if prey quality explained different population growth and emigration rates among colonies. Diet composition was described both by conventional means (stomach samples) and by analysis of stable isotopes in chick tissues (toenails of individuals killed by skuas [Stercorarius maccormicki]). Diets were similar among the four study colonies compared to the disparity apparent among 14 widely spaced sites around the continent. Calorimetry indicated that fish are more energetically valuable than krill, implying that if diet varied by colony, diet quality could attract recruits and help to explain differential rates of colony growth. However, a multiple-regression analysis indicated that diet varied as a function of year, time within the year, and percent of foraging area covered by sea ice, but not by colony location. Stable isotopes revealed similarity of diet at one colony where conventional sampling was not possible. We confirmed that sea ice importantly affects diet composition of this species in neritic waters, and found that (1) quality of summer diet cannot explain different population growth rates among colonies, and (2) stable isotope analysis of chick tissues (toenails) is a useful tool to synoptically describe diet in this species over a large area.</t>
  </si>
  <si>
    <t>HT Harvey &amp; Associates, San Jose, CA 95118 USA; Point Reyes Bird Observ, Stinson Beach, CA 94970 USA; Landcare Res New Zealand Ltd, Nelson, New Zealand; Univ Calif Santa Cruz, Inst Marine Sci, Santa Cruz, CA 95064 USA; Univ Wisconsin, Dept Wildlife Ecol, USGS Wisconsin Cooperat Wildlife Res Unit, Madison, WI 53706 USA</t>
  </si>
  <si>
    <t>Landcare Research - New Zealand; University of California System; University of California Santa Cruz; University of Wisconsin System; University of Wisconsin Madison; United States Department of the Interior; United States Geological Survey</t>
  </si>
  <si>
    <t>Ainley, DG (corresponding author), HT Harvey &amp; Associates, 3150 Almaden Expressway,Suite 145, San Jose, CA 95118 USA.</t>
  </si>
  <si>
    <t>COOPER ORNITHOLOGICAL SOC</t>
  </si>
  <si>
    <t>ORNITHOLOGICAL SOC NORTH AMER PO BOX 1897, LAWRENCE, KS 66044-8897 USA</t>
  </si>
  <si>
    <t>0010-5422</t>
  </si>
  <si>
    <t>Condor</t>
  </si>
  <si>
    <t>10.1650/0010-5422(2003)105[95:SATVOD]2.0.CO;2</t>
  </si>
  <si>
    <t>648BP</t>
  </si>
  <si>
    <t>WOS:000181130200009</t>
  </si>
  <si>
    <t>Hernández-Guerra, A; Fraile-Nuez, E; Borges, R; López-Laatzen, F; Vélez-Belchí, P; Parrilla, G; Müller, TJ</t>
  </si>
  <si>
    <t>Transport variability in the Lanzarote passage (eastern boundary current of the North Atlantic subtropical Gyre)</t>
  </si>
  <si>
    <t>current data analysis; mass transport; temporal variation; boundary currents; Eastern Boundary Current; Canary Current</t>
  </si>
  <si>
    <t>SUB-TROPICAL GYRE; CANARY-ISLANDS; AZORES CURRENT; AFRICAN COAST; SPACED DATA; CIRCULATION; SURFACE; OCEAN; BASIN; OCEANOGRAPHY</t>
  </si>
  <si>
    <t>Observations from a four-year current meter mooring at 28degrees44'N, 13degrees28'W in the Lanzarote passage are used to describe the transport variability of the Eastern Boundary Current of the North Atlantic Subtropical Gyre. Three different water masses are found in the passage: North Atlantic Central Water in the upper levels (roughly 0-600 m), Antarctic Intermediate Water (roughly 600 - 1100 m) and Mediterranean Water in the layer above the bottom at 1300 m. The mean southward transport of NACW is -0.8 +/- 1.1 Sv (I Sv = 10(9) kg s(-1)) which is the transport of the easternmost branch of the Canary Current. Fluctuations of NACW transport are large, ranging from -3.4 Sv southward to 1.7 Sv northward. Every autumn a consistent northward transport is observed, which may be related with the eastern boundary upwelling dynamics. The mean transports of AAIW and MW are 0.1 +/- 0.4 Sv northward and -0.05 +/- 0.09 Sv southward, respectively. Fluctuations of transport of AAIW and MW are large, from 1.0 to -1.0 Sv and from -0.32 to 0.23 Sv, respectively. Thus, the mass transports for each water mass show a high standard deviation of comparable magnitude to the mean. This highlights the importance of the temporal variability of the currents in this passage. A remarkable feature of our observations is that the mean transports of NACW and AAIW during an El Nino event are significantly different. (C) 2003 Elsevier Science Ltd. All rights reserved.</t>
  </si>
  <si>
    <t>Univ Las Palmas Gran Canaria, Fac Ciencias Mar, Canary Isl 35017, Spain; Inst Espanol Oceanog, Madrid, Spain; Univ Kiel, Inst Meereskunde, D-2300 Kiel, Germany</t>
  </si>
  <si>
    <t>Universidad de Las Palmas de Gran Canaria; Spanish Institute of Oceanography; University of Kiel</t>
  </si>
  <si>
    <t>ahernandez@dfis.ulpgc.es</t>
  </si>
  <si>
    <t>Hernandez-Guerra, Alonso/A-4747-2008; Nuez, Eugenio Fraile/R-2258-2019; Velez-Belchi, Pedro/I-9150-2017</t>
  </si>
  <si>
    <t>Hernandez-Guerra, Alonso/0000-0002-4883-8123; Nuez, Eugenio Fraile/0000-0003-4250-4445; Velez-Belchi, Pedro/0000-0003-2404-5679</t>
  </si>
  <si>
    <t>10.1016/S0967-0637(02)00163-2</t>
  </si>
  <si>
    <t>767NU</t>
  </si>
  <si>
    <t>WOS:000188458000001</t>
  </si>
  <si>
    <t>Meinen, CS; Luther, DS</t>
  </si>
  <si>
    <t>Comparison of methods of estimating mean synoptic current structure in stream coordinates reference frames with an example from the Antarctic Circumpolar Current</t>
  </si>
  <si>
    <t>INDUCED ELECTROMAGNETIC-FIELDS; GULF-STREAM; VERTICAL STRUCTURE; ELECTRIC-FIELD; LOW-FREQUENCY; CURRENT SOUTH; TRANSPORT; VELOCITY; 68-DEGREES-W; AUSTRALIA</t>
  </si>
  <si>
    <t>Stream coordinates techniques, that is, methods of deriving the mean synoptic structures of narrow meandering ocean currents from Eulerian measurements, have been in use for nearly two decades and have resulted in improvements in our understanding of the dynamics and transports of such currents. A 2-year experiment in the Sub-Antarctic Front (SAF) southwest of Tasmania, involving overlapping arrays of inverted echo sounders and horizontal electric field recorders, has provided an opportunity to test various stream coordinates methods. The methods differ significantly in how well, or even if, they can reveal divergence or convergence of the meandering current, and whether they accurately reproduce the current's horizontal structure and transport. Cross-stream distance was determined either via a frozen-field assumption or as the distance to an optimally interpolated (OI) origin contour; downstream direction was determined either as the local direction which maximized the vertical shear of horizontal velocity or as the tangent line to the OI mapped core contour. All combinations of these distance and direction definitions were tested. The use of a frozen field assumption in determining cross-stream distance yields overly smooth along-stream velocity cross-sections and overestimated transports. The vertical shear definition of downstream direction results in a false rotation of cross-stream flows into along-stream flows near the flanks of the current. The preferred methods define the horizontal location of the front with 2-D arrays of instruments (e.g., inverted echo sounders or moored current meters). Methods employing the assumptions of a meandering frozen-field baroclinic structure or the use of the local vertical shear of the horizontal velocity to determine the downstream direction should be avoided, if possible, particularly in the SAF. (C) 2003 Elsevier Science Ltd. All rights reserved.</t>
  </si>
  <si>
    <t>Univ Hawaii Manoa, Honolulu, HI 96822 USA</t>
  </si>
  <si>
    <t>University of Hawaii System; University of Hawaii Manoa</t>
  </si>
  <si>
    <t>Meinen, CS (corresponding author), Univ Miami, Cooperat Inst Marine &amp; Atmospher Sci, 4301 Rickenbacker Causeway, Miami, FL 33149 USA.</t>
  </si>
  <si>
    <t>christopher.meinen@noaa.gov</t>
  </si>
  <si>
    <t>Meinen, Christopher/0000-0002-8846-6002</t>
  </si>
  <si>
    <t>10.1016/S0967-0637(02)00168-1</t>
  </si>
  <si>
    <t>WOS:000188458000002</t>
  </si>
  <si>
    <t>Costa, DP; Gales, NJ</t>
  </si>
  <si>
    <t>Energetics of a benthic diver:: Seasonal foraging ecology of the Australian sea lion, Neophoca cinerea</t>
  </si>
  <si>
    <t>ECOLOGICAL MONOGRAPHS</t>
  </si>
  <si>
    <t>aerobic dive limit; Australian sea lion; benthic foraging; diving behavior; doubly labeled water; foraging ecology; foraging energetics; fur seals; interannual variability; Neophoca cinerea; sea lions; seasonality</t>
  </si>
  <si>
    <t>ANTARCTIC FUR SEALS; PENGUINS PYGOSCELIS-PAPUA; NEW-ZEALAND; DIVING BEHAVIOR; PHOCARCTOS-HOOKERI; ARCTOCEPHALUS-FORSTERI; ZALOPHUS-CALIFORNIANUS; APTENODYTES PATAGONICUS; WESTERN-AUSTRALIA; OTARIA-FLAVESCENS</t>
  </si>
  <si>
    <t>This research examines the foraging energetics and diving behavior of the Australian sea lion, Neophoca cinerea. We examine whether the foraging ecology of the Australian sea lion is typical for an animal that has evolved to exploit benthic habitats. Such a strategy is in marked contrast to those utilized by some seabirds and other pinnipeds that feed in the midwater, where travel and search components of the time at sea become more important. Onshore and at-sea field metabolic rates (FMR) were measured using doubly labeled water in lactating sea lions at Kangaroo Island, South Australia. during the winter of 1988 (early lactation, breeding season 1) and the summer of 1990 (early lactation, breeding season 2). Dive behavior was also measured with dataloggers during these seasons, as well as in the summer of 1991 (late lactation, breeding season 2). The foraging behavior of Neophoca cinerea indicated that it works hard to exploit benthic habitats in the waters around its breeding site. Sea lions maximized time spent at or near the benthos, with 61% of each dive and 35% of their time at sea being spent at the deepest 20% of the dives. The dive pattern was characterized by almost continuous diving when at sea, with 57.9% of their time at sea spent at depths greater than or equal to6 m. and dive rates of 10.7 dives/h. Mean surface intervals (1.0-1.9 min) accounted for only 42% of mean dive durations (2.2-4.1 min). Mean dive depths ranged from 41.5 m to 83.1 m, with maximum dives ranging from 60 m to 105 m. The energetic costs of this strategy are high when compared with those of other otariids: the mean at-sea FMR was 7.05 +/- 0.99 W/kg. We report seasonal variability in foraging energetics and dive behavior that is likely to be sensitive to regional oceanography, the maintenance costs of female sea lions and their offspring, and the distribution and behavior of their prey. Further, we note that Australian sea lions are functionally adapted to benefit from benthic foraging strategies because their larger size and insulating blubber convey an advantage over the generally smaller sympatric fur seals that would have a decrease in air/fur insulation with compression at deeper depths and would experience greater water infiltration of the fur with longer dives.</t>
  </si>
  <si>
    <t>Univ Calif Santa Cruz, Inst Marine Sci, Dept Ecol &amp; Evolutionary Biol, Santa Cruz, CA 95064 USA; Australian Antarctic Div, Kingston, Tas 7001, Australia</t>
  </si>
  <si>
    <t>University of California System; University of California Santa Cruz; Australian Antarctic Division</t>
  </si>
  <si>
    <t>Costa, DP (corresponding author), Univ Calif Santa Cruz, Inst Marine Sci, Dept Ecol &amp; Evolutionary Biol, Santa Cruz, CA 95064 USA.</t>
  </si>
  <si>
    <t>Carlos, Universidade Federal de São/W-8832-2019; Costa, Daniel Paul/E-2616-2013</t>
  </si>
  <si>
    <t>Carlos, Universidade Federal de São/0000-0002-0334-3899; Costa, Daniel Paul/0000-0002-0233-5782</t>
  </si>
  <si>
    <t>ECOLOGICAL SOC AMER</t>
  </si>
  <si>
    <t>1707 H ST NW, STE 400, WASHINGTON, DC 20006-3915 USA</t>
  </si>
  <si>
    <t>0012-9615</t>
  </si>
  <si>
    <t>ECOL MONOGR</t>
  </si>
  <si>
    <t>Ecol. Monogr.</t>
  </si>
  <si>
    <t>10.1890/0012-9615(2003)073[0027:EOABDS]2.0.CO;2</t>
  </si>
  <si>
    <t>648XW</t>
  </si>
  <si>
    <t>WOS:000181177700002</t>
  </si>
  <si>
    <t>Fauchald, P; Tveraa, T</t>
  </si>
  <si>
    <t>Using first-passage time in the analysis of area-restricted search and habitat selection</t>
  </si>
  <si>
    <t>animal movement; Antarctic Petrel; dispersal; first-passage time; hierarchical foraging; radio tracking; random walk; satellite telemetry; scale; search pattern; Thalassoica antarctica</t>
  </si>
  <si>
    <t>SPATIAL-DISTRIBUTION; FRACTAL LANDSCAPES; INSECT MOVEMENT; ANIMAL MOVEMENT; PATCH STRUCTURE; RESPONSES; PATTERNS; ECOLOGY</t>
  </si>
  <si>
    <t>How animals change their movement patterns in relation to the environment is a central topic in a wide area of ecology, including foraging ecology, habitat selection, and spatial population ecology. To understand the underlying behavioral mechanisms involved, there is a need for methods to measure changes in movement patterns along a pathway through the landscape. We used simulated pathways and satellite tracking of a long-ranging seabird to explore the properties of first-passage time as a measure of search effort along a path. The first-passage time is defined as the time required for an animal to cross a circle with a given radius. It is a measure of how much time an animal uses within a given area. First-passage time is scale dependent, and a plot of variance in first-passage time vs. spatial scale reveals the spatial scale at which the animal concentrates its search effort. By averaging the first-passage time on a geographical grid, it is possible to relate first-passage time to environmental variables and the search pattern of other individuals.</t>
  </si>
  <si>
    <t>Norwegian Inst Nat Res, Div Arct Ecol, Polar Environm Ctr, N-9296 Tromso, Norway</t>
  </si>
  <si>
    <t>Norwegian Institute Nature Research</t>
  </si>
  <si>
    <t>Fauchald, P (corresponding author), Norwegian Inst Nat Res, Div Arct Ecol, Polar Environm Ctr, N-9296 Tromso, Norway.</t>
  </si>
  <si>
    <t>Fauchald, Per/AAV-4242-2021</t>
  </si>
  <si>
    <t>10.1890/0012-9658(2003)084[0282:UFPTIT]2.0.CO;2</t>
  </si>
  <si>
    <t>654FB</t>
  </si>
  <si>
    <t>WOS:000181482600002</t>
  </si>
  <si>
    <t>Browman, HI</t>
  </si>
  <si>
    <t>Assessing the impacts of solar ultraviolet radiation on the farly life stages of crustacean zooplankton and ichthyoplankton in marine coastal systems</t>
  </si>
  <si>
    <t>ESTUARIES</t>
  </si>
  <si>
    <t>24th Annual American-Fisheries-Society Conference</t>
  </si>
  <si>
    <t>NOV 06-10, 2000</t>
  </si>
  <si>
    <t>GULF SHORES, AL</t>
  </si>
  <si>
    <t>COD GADUS-MORHUA; UV-B RADIATION; FISH RUTILUS-RUTILUS; NM INDUCED MORTALITY; OZONE DEPLETION; CALANUS-FINMARCHICUS; IMMUNE-SYSTEM; DOCOSAHEXAENOIC ACID; ANTARCTIC PHYTOPLANKTON; PLANKTONIC COPEPOD</t>
  </si>
  <si>
    <t>Over the past 10-15 years, solar ultraviolet B (UV-B, 290-320 nm) levels have increased significantly at mid-latitude areas of the Northern and Southern Hemispheres. These increases in UV-B are linked to reductions of stratospheric ozone. Although the variables that affect UV-B penetration into water columns are still under active investigation, there are typically strong correlations between dissolved organic carbon (DOC), chlorophyll a (chl a), and UV attenuation. This is particularly significant in the context of possible UV-B impacts on marine coastal systems, since DOC and chl a are usually much more highly concentrated in these waters than in the open ocean. Observations indicate that the early life stages of crustacean zooplankton and ichthyoplankton present in the first meter of coastal water columns (likely only a small percentage of the total population) are susceptible to UV-B radiation. Variability in cloud cover, water transparency (and the variables that affect it), and vertical distribution and displacement of organisms within the mixed layer have a greater effect on the flux of UV-B radiation to which plankton are exposed than will ozone layer depletion. Although exposure to UV-B can negatively affect planktonic organisms, such direct effects are likely minimal in coastal zones, and within the context of all the other environmental factors that produce the very high levels of mortality typically observed in their early life stages. Indirect effects (e.g., UV-B-induced reduction in the nutritional quality of the food base) have not as yet been adequately evaluated.</t>
  </si>
  <si>
    <t>Inst Marine Res, Austevoll Aquaculture Res Stn, N-5692 Storebo, Norway</t>
  </si>
  <si>
    <t>Institute of Marine Research - Norway</t>
  </si>
  <si>
    <t>Browman, HI (corresponding author), Inst Marine Res, Austevoll Aquaculture Res Stn, N-5692 Storebo, Norway.</t>
  </si>
  <si>
    <t>howard.browman@imr.no</t>
  </si>
  <si>
    <t>Browman, Howard/CAA-2802-2022</t>
  </si>
  <si>
    <t>Browman, Howard/0000-0002-6282-7316</t>
  </si>
  <si>
    <t>ESTUARINE RESEARCH FEDERATION</t>
  </si>
  <si>
    <t>PORT REPUBLIC</t>
  </si>
  <si>
    <t>2018 DAFFODIL, PO BOX 510, PORT REPUBLIC, MD 20676 USA</t>
  </si>
  <si>
    <t>0160-8347</t>
  </si>
  <si>
    <t>Estuaries</t>
  </si>
  <si>
    <t>10.1007/BF02691691</t>
  </si>
  <si>
    <t>655XA</t>
  </si>
  <si>
    <t>WOS:000181576900004</t>
  </si>
  <si>
    <t>McDaniel, SF; Shaw, AJ</t>
  </si>
  <si>
    <t>Phylogeographic structure and cryptic speciation in the trans-antarctic moss Pyrrhobryum minoides</t>
  </si>
  <si>
    <t>Andean phylogeography; bryophyte biogeography; chloroplast DNA; gondwanan vicariance; long-distance dispersal; New Zealand; Pyrrhobryum mnioides</t>
  </si>
  <si>
    <t>ESTIMATING DIVERGENCE TIMES; RARE COPPER-MOSS; CHLOROPLAST DNA; NEW-ZEALAND; PHYLOGENETIC-RELATIONSHIPS; MIELICHHOFERIA-ELONGATA; GENETIC BIOGEOGRAPHY; MOLECULAR PHYLOGENY; MAXIMUM-LIKELIHOOD; UNIVERSAL PRIMERS</t>
  </si>
  <si>
    <t>Many bryophyte species have distributions that span multiple continents. The hypotheses historically advanced to explain such distributions rely on either long-distance spore dispersal or slow rates of morphological evolution following ancient continental vicariance events. We use phylogenetic analyses of DNA sequence variation at three chloroplast loci (atpB-rbcL spacer, rps4 gene, and trnL intron and 3' spacer) to examine these two hypotheses in the trans-Antarctic moss Pyrrhobryum mnioides. We find: (1) reciprocal monophyly of Australasian and South American populations, indicating a lack of intercontinental dispersal; (2) shared-haplotypes between Australia and New Zealand, suggesting recent or ongoing migration across the Tasman Sea; and (3) reciprocal monophyly among Patagonian and neotropical populations, suggesting no recent migration along the Andes. These results corroborate experimental work suggesting that spore features may be critical determinants of species range. We use the mid-Miocene development of the Atacama Desert, 14 million years ago, to calibrate a molecular clock for the tree. The age of the trans-Antarctic disjunction is estimated to be 80 million years ago, consistent with Gondwanan vicariance, making it among the most ancient documented cases of cryptic speciation. These data are in accord with niche conservatism, but whether the morphological stasis is a product of stabilizing selection or phylogenetic constraint is unknown.</t>
  </si>
  <si>
    <t>Duke Univ, Dept Biol, Durham, NC 27708 USA</t>
  </si>
  <si>
    <t>Duke University</t>
  </si>
  <si>
    <t>McDaniel, SF (corresponding author), Duke Univ, Dept Biol, Durham, NC 27708 USA.</t>
  </si>
  <si>
    <t>McDaniel, Stuart/L-5197-2014</t>
  </si>
  <si>
    <t>SOC STUDY EVOLUTION</t>
  </si>
  <si>
    <t>810 E 10TH STREET, LAWRENCE, KS 66044 USA</t>
  </si>
  <si>
    <t>655ZU</t>
  </si>
  <si>
    <t>WOS:000181584200001</t>
  </si>
  <si>
    <t>Tosco, A; Birolo, L; Madonna, S; Lolli, G; Sannia, G; Marino, G</t>
  </si>
  <si>
    <t>GroEL from the psychrophilic bacterium Pseudoalteromonas haloplanktis TAC 125:: molecular characterization and gene cloning</t>
  </si>
  <si>
    <t>adaptation to cold; Antarctic bacteria; GroEL; GroES; heat shock; Pseudoalteromonas haloplanktis</t>
  </si>
  <si>
    <t>HEAT-SHOCK RESPONSE; ESCHERICHIA-COLI; PSYCHROTROPHIC YEAST; THERMUS-THERMOPHILUS; PROTEIN-SYNTHESIS; CHAPERONIN CPN60; STRESS PROTEINS; THERMOTOLERANCE; PURIFICATION; EXPRESSION</t>
  </si>
  <si>
    <t>The heat shock response of the psychrophilic bacterium Pseudoalteromonas haloplanktis TAC 125 (PhTAC 125) gives rise to the production of several inducible proteins. Among these, the protein corresponding to a 55-kDa band on SDS-PAGE was purified to homogeneity and identified as a GroEL-like protein. The gene coding for this protein (PhGroEL) was cloned and sequenced; the deduced amino acid sequence shows 82% sequence identity to GroEL from Escherichia coli (EcGroEL). The ORF found in the 5' upstream region codes for a homologue of the GroES from E. coli (PhGroES, 71% sequence identity to EcGroES). PhGroEL shows a chaperone activity and can use GroES from E. coli as a co-chaperone. PhGroEL melting temperature, 6 degreesC lower than that of EcGroEL, and equilibrium unfolding experiments in urea showed a less stable protein architecture for the psychrophilic GroEL. The data herein reported demonstrate that PhGroEL cold adaptation consists in a shift of the protein properties toward lower temperatures without increasing catalytic efficiency at low temperatures. Primary extension analysis depicted a complex organization of regulative elements for the operon containing the genes coding for PhgroES and PhgroEL (PhgroE), suggesting that a fine-tuning of transcription can also be involved in thermal adaptation of PhTAC 125.</t>
  </si>
  <si>
    <t>Univ Naples Federico II, Complesso Univ Monte Sant Angelo, Dipartimento Chim Organ &amp; Biochim, I-80126 Naples, Italy</t>
  </si>
  <si>
    <t>University of Naples Federico II</t>
  </si>
  <si>
    <t>Birolo, L (corresponding author), Univ Naples Federico II, Complesso Univ Monte Sant Angelo, Dipartimento Chim Organ &amp; Biochim, Via Cynthia 4, I-80126 Naples, Italy.</t>
  </si>
  <si>
    <t>Madonna, stefania/AAC-3381-2022; Tosco, Alessandra/F-6773-2011; Lolli, Graziano/J-6267-2014</t>
  </si>
  <si>
    <t>Tosco, Alessandra/0000-0002-5443-1565; Lolli, Graziano/0000-0002-8536-5599; BIROLO, Leila/0000-0002-0915-7501; SANNIA, Giovanni/0000-0002-7986-6223</t>
  </si>
  <si>
    <t>10.1007/s00792-002-0291-6</t>
  </si>
  <si>
    <t>650JD</t>
  </si>
  <si>
    <t>WOS:000181259200003</t>
  </si>
  <si>
    <t>Reddy, GSN; Raghavan, PUM; Sarita, NB; Prakash, JSS; Nagesh, N; Delille, D; Shivaji, S</t>
  </si>
  <si>
    <t>Halomonas glaciei sp nov isolated from fast ice of Adelie Land, Antarctica</t>
  </si>
  <si>
    <t>Antarctica; halotolerant; Halomonas; psychrophiles</t>
  </si>
  <si>
    <t>COMB-NOV; FAMILY HALOMONADACEAE; SCHIRMACHER OASIS; GEN-NOV; CHROMOHALOBACTER-MARISMORTUI; HALOTOLERANT BACTERIA; DELEYA; IDENTIFICATION; ARTHROBACTER; SOILS</t>
  </si>
  <si>
    <t>Eleven psychrophilic bacteria were isolated from a solid layer of fast ice in the middle of Pointe-Geologie Archipelago, Adelie Land, Antarctica. The 11 isolates based on the phenotypic characteristics, chemotaxonomic and phylogenetic analysis have been identified as members of the genus Halomonas. All the isolates at the 16S rDNA sequence level were identical, possessed the 15 conserved nucleotides of the family Halomonadaceae and four nucleotides of the genus Halomonas. Therefore, the 16S rDNA sequence of DD 39 was used for calculating the evolutionary distances and for phylogenetic analysis. It was observed that DD 39 formed a robust cluster with H. variabilis, from which it differed by 0.7%. Further DNA-DNA hybridization studies indicated low DNA-DNA homology (15%) between H. variabilis and DD 39. Between the 11 Antarctic isolates the homology was &gt; 85%. In addition it was observed that DD 39 was different from H. variabilis in that it was psychrophilic, could tolerate only up to 15% sodium chloride, could not hydrolyse esculin, could not reduce nitrate, was urease negative, could not utilize glycerol as a carbon source, and was resistant to ampicillin and erythromycin and sensitive to nalidixic acid. In addition, it also exhibited distinct differences with respect to high content of C-16:1 and low levels of cyclo-C-17:0 and cyclo-C-19:0. DD 39 also differed from all the other reported species of Halomonas with respect to many phenotypic characteristics. It is proposed therefore that DD 39 should be placed in the genus Halomonas as a new species that is Halomonas glaciei. The type strain of H. glaciei is DD 39(T) (MTCC 4321; JCM 11692).</t>
  </si>
  <si>
    <t>Ctr Cellular &amp; Mol Biol, Hyderabad 500007, Andhra Pradesh, India; Univ Paris 06, Observ Oceanol Banyuls sur Mer, CNRS, URA 2071, Banyuls Sur Mer, France</t>
  </si>
  <si>
    <t>Council of Scientific &amp; Industrial Research (CSIR) - India; CSIR - Centre for Cellular &amp; Molecular Biology (CCMB); Sorbonne Universite; Centre National de la Recherche Scientifique (CNRS)</t>
  </si>
  <si>
    <t>Ctr Cellular &amp; Mol Biol, Uppal Rd, Hyderabad 500007, Andhra Pradesh, India.</t>
  </si>
  <si>
    <t>shivas@ccmb.ap.nic.in</t>
  </si>
  <si>
    <t>Nagesh, Narayana/0000-0002-8998-8013; shivaji, sisinthy/0000-0003-0376-4658</t>
  </si>
  <si>
    <t>SPRINGER JAPAN KK</t>
  </si>
  <si>
    <t>CHIYODA FIRST BLDG EAST, 3-8-1 NISHI-KANDA, CHIYODA-KU, TOKYO, 101-0065, JAPAN</t>
  </si>
  <si>
    <t>1433-4909</t>
  </si>
  <si>
    <t>10.1007/s00792-002-0295-2</t>
  </si>
  <si>
    <t>WOS:000181259200007</t>
  </si>
  <si>
    <t>Brierley, AS; Fernandes, PG; Brandon, MA; Armstrong, F; Millard, NW; McPhail, SD; Stevenson, P; Pebody, M; Perrett, J; Squires, M; Bone, DG; Griffiths, G</t>
  </si>
  <si>
    <t>An investigation of avoidance by Antarctic krill of RRS James Clark!Ross using the Autosub-2 autonomous underwater vehicle</t>
  </si>
  <si>
    <t>acoustic survey; avoidance; autosub; Antarctic krill; biomass estimate; Euphausia superba; vessel noise</t>
  </si>
  <si>
    <t>EUPHAUSIA-SUPERBA; FISH</t>
  </si>
  <si>
    <t>The autonomous underwater vehicle (AUV) Autosub-2 was deployed on eight missions ahead of RRS James Clark Ross in the northern Weddell Sea and in the Bransfield Strait, Southern Ocean, to assess avoidance of the research vessel by Antarctic krill Euphausia superba. The AUV was equipped with the same type of scientific echosounder as the research vessel (Simrad EK500 operating at 38 and 120 kHz) and measured the density of krill along transect acoustically (g m(-2) wet mass) prior to the ship's arrival. We hypothesised that if krill avoided the ship, perhaps in response to radiated noise, then the ship should detect less krill than the AUV which is known to have much lower noise levels than the ship. We were unable to detect any significant difference between the density of krill detected by the ship or the AUV, either at the transect level or at finer scales within transects. We conclude, therefore, that avoidance by krill of RRS James Clark Ross will not significantly bias acoustic estimates of krill abundance by this vessel. (C) 2002 Elsevier Science B.V. All rights reserved.</t>
  </si>
  <si>
    <t>British Antarctic Survey, Cambridge CB3 0ET, England; FRS Marine Lab Aberdeen, Aberdeen AB11 9DB, Scotland; Open Univ, Dept Earth Sci, Milton Keynes MK7 6AA, Bucks, England; Southampton Oceanog Ctr, Southampton SO14 3ZH, Hants, England</t>
  </si>
  <si>
    <t>UK Research &amp; Innovation (UKRI); Natural Environment Research Council (NERC); NERC British Antarctic Survey; Open University - UK; NERC National Oceanography Centre; University of Southampton</t>
  </si>
  <si>
    <t>Brierley, AS (corresponding author), Univ St Andrews, Gatty Marine Lab, St Andrews KY16 8LB, Fife, Scotland.</t>
  </si>
  <si>
    <t>Fernandes, Paul George/H-2972-2013; Brandon, Mark A/A-5804-2010; Brierley, Andrew/G-8019-2011</t>
  </si>
  <si>
    <t>Fernandes, Paul George/0000-0003-4135-115X; Brandon, Mark/0000-0002-7779-0958; Brierley, Andrew/0000-0002-6438-6892</t>
  </si>
  <si>
    <t>2-3</t>
  </si>
  <si>
    <t>PII S0165-7836(02)00144-3</t>
  </si>
  <si>
    <t>10.1016/S0165-7836(02)00144-3</t>
  </si>
  <si>
    <t>643TZ</t>
  </si>
  <si>
    <t>WOS:000180877700032</t>
  </si>
  <si>
    <t>Shaffer, SA; Costa, DP; Weimerskirch, H</t>
  </si>
  <si>
    <t>Foraging effort in relation to the constraints of reproduction in free-ranging albatrosses</t>
  </si>
  <si>
    <t>energy expenditure; Wandering Albatrosses</t>
  </si>
  <si>
    <t>ANTARCTIC FUR SEALS; WANDERING ALBATROSSES; ENERGY-EXPENDITURE; DIOMEDEA-EXULANS; BREEDING-SEASON; FEEDING ECOLOGY; ENERGETICS; FOOD; STRATEGY; BEHAVIOR</t>
  </si>
  <si>
    <t>1. Theoretical models predict that animals will vary their effort to maximize different currencies such as time and energy when the constraints of reproduction change during breeding, but this has been poorly studied in free-ranging animals. 2. Foraging effort (energy per unit time) was examined by comparing mass changes, foraging costs and activity-specific behaviours of Wandering Albatrosses (Diomedea exulans Linnaeus) during the incubation and chick-brooding stages. In 1998, 38 albatrosses (20 during incubation and 18 during brooding) were injected with doubly labelled water and equipped with satellite transmitters and activity data loggers. 3. During incubation, albatrosses travelled 3.7 times farther and were at sea 3.2 times longer, yet foraging costs were significantly lower than trips made during brooding (incubation 4.52 +/- 0.50 SD W kg(-1) vs brooding 4.98 +/- 0.55 SD W kg(-1)). 4. The rate of daily mass gain decreased significantly with time at sea during incubation whereas the rate of daily mass gain increased significantly with time at sea during brooding. 5. Foraging effort was higher during brooding, suggesting that birds were minimizing time at sea to maximize the rate of food delivery to chicks. In contrast, foraging effort was lower during incubation, suggesting that birds were maximizing time at sea and minimizing the energy costs of foraging. 6. Foraging costs were also different between sexes. However, this was related to body size differences and not to differences in foraging effort as suggested in previous studies.</t>
  </si>
  <si>
    <t>Univ Calif Santa Cruz, Dept Ecol &amp; Evolutionary Biol, Santa Cruz, CA 95060 USA; CNRS, Ctr Etud Biol Chize, F-79360 Villiers En Bois, France</t>
  </si>
  <si>
    <t>University of California System; University of California Santa Cruz; Centre National de la Recherche Scientifique (CNRS)</t>
  </si>
  <si>
    <t>Univ Calif Santa Cruz, Dept Ecol &amp; Evolutionary Biol, Santa Cruz, CA 95060 USA.</t>
  </si>
  <si>
    <t>shaffer@biology.ucsc.edu</t>
  </si>
  <si>
    <t>Weimerskirch, Henri/K-7306-2019; Weimerskirch, Henri/F-5562-2013; Shaffer, Scott/D-5015-2009; Costa, Daniel Paul/E-2616-2013</t>
  </si>
  <si>
    <t>Weimerskirch, Henri/0000-0002-0457-586X; Shaffer, Scott/0000-0002-7751-5059; Costa, Daniel Paul/0000-0002-0233-5782</t>
  </si>
  <si>
    <t>1365-2435</t>
  </si>
  <si>
    <t>10.1046/j.1365-2435.2003.00705.x</t>
  </si>
  <si>
    <t>650PR</t>
  </si>
  <si>
    <t>WOS:000181273000009</t>
  </si>
  <si>
    <t>Gounelle, M; Zolensky, ME; Liou, JC; Bland, PA; Alard, O</t>
  </si>
  <si>
    <t>Mineralogy of carbonaceous chondritic microclasts in howardites: Identification of C2 fossil micrometeorites</t>
  </si>
  <si>
    <t>INTERPLANETARY DUST PARTICLES; ANTARCTIC MICROMETEORITES; ISOTOPE COSMOCHEMISTRY; SIDEROPHILE ELEMENTS; AQUEOUS ALTERATION; COSMIC SPHERULES; OXYGEN-ISOTOPE; ACCRETION RATE; CI CHONDRITES; TAGISH LAKE</t>
  </si>
  <si>
    <t>Seventy-one carbonaceous chondritic microclasts of average size 150 gm have been found in three howardites (Yamato-793497, Jodzie, Kapoeta). All carbonaceous chondritic microclasts are made of a fine-grained phyllosilicate-rich matrix supporting a variety of minerals such as olivine, pyroxene, spinel, iron oxides, iron-nickel sulfides, and calcium carbonates. Such a mineralogy is typical of chondritic C2 matter. Half of the carbonaceous chondritic microclasts are tochilinite-rich, and have been tentatively called CM2 microclasts. The other half are magnetite-rich, and have been tentatively called CR2 microclasts. The absence of a correlation between the CM2/CR2 ratio in carbonaceous chondritic microclasts and in numerous millimeter-sized clasts found in the same sections argues for carbonaceous chondritic microclasts being true micrometeorites rather than fragments of larger objects. Dynamical simulations show that it is possible for asteroidal dust to encounter Vesta (the howardite's putative parent-asteroid) at velocity low enough (&lt;1 km.s(-1)) to prevent fragmentation. Because the micrometeorite flux in the inner Solar System has been decreasing with time, we argue that carbonaceous chondritic microclasts have been trapped in Vesta's regolith early in the history of the Solar System and are fossil micrometeorites. Because both microclasts and clasts found in howardites are related to C2 chondritic matter, we propose that C2 matter represents the bulk, or at least a significant fraction of the primordial howardite parent-asteroid. Considering the abundance of C2 matter among fossil micrometeorites, we speculate that the C2 fossil micrometorites are the so far unidentified agent of the late chondritic veneer that endowed the Earth's mantle with an excess of siderophile elements relative to the contents predicted by the core-mantle separation models. The discovery that C2 fossil micrometeorites are similar to C2 modern Antarctic micrometeorites supports recent models proposing a micrometeoritic origin for the Earth's oceans and volatile species. Copyright (C) 2003 Elsevier Science Ltd.</t>
  </si>
  <si>
    <t>Ctr Spectrometrie Nucl &amp; Spectrometrie Masse, F-91405 Orsay, France; NASA, Lyndon B Johnson Space Ctr, Houston, TX 77058 USA; Lockheed Martin Space Operat, Houston, TX 77058 USA; Open Univ, Planetary &amp; Space Sci Res Inst, Milton Keynes MK7 6AA, Bucks, England; Open Univ, Dept Earth Sci, Milton Keynes MK7 6AA, Bucks, England</t>
  </si>
  <si>
    <t>Universite Paris Saclay; National Aeronautics &amp; Space Administration (NASA); NASA Johnson Space Center; Lockheed Martin; Open University - UK; Open University - UK</t>
  </si>
  <si>
    <t>Nat Hist Museum, Dept Mineral, London SW7 5BD, England.</t>
  </si>
  <si>
    <t>mattg@nhm.ac.uk</t>
  </si>
  <si>
    <t>ALARD, Olivier/R-7755-2016; ALARD, Olivier/A-7128-2008; Bland, Phil/M-9392-2018</t>
  </si>
  <si>
    <t>ALARD, Olivier/0000-0002-0832-6625; ALARD, Olivier/0000-0002-0832-6625; Zolensky, Michael/0000-0002-3181-1303; Bland, Phil/0000-0002-4681-7898</t>
  </si>
  <si>
    <t>PII S0016-7037(02)00985-7</t>
  </si>
  <si>
    <t>10.1016/S0016-7037(02)00985-7</t>
  </si>
  <si>
    <t>640MM</t>
  </si>
  <si>
    <t>WOS:000180692600013</t>
  </si>
  <si>
    <t>Planchon, FAM; van de Velde, K; Rosman, KJR; Wolff, EW; Ferrari, CP; Boutron, CF</t>
  </si>
  <si>
    <t>One hundred fifty-year record of lead isotopes in Antarctic snow from Coats Land</t>
  </si>
  <si>
    <t>HEAVY-METAL; ANTHROPOGENIC LEAD; GREENLAND ICE; SOURCE SIGNATURES; ATMOSPHERIC LEAD; VOLCANIC-ROCKS; DOME-C; EMISSIONS; ORIGIN; DUST</t>
  </si>
  <si>
    <t>A record of the concentrations of Pb and Ba and the isotopic composition of Pb has been established for a remote, low accumulation site in the Atlantic sector of Antarctica (Coats Land) by means of thermal ionization mass spectrometry. The snow samples cover the period similar to 1840 to 1990. They were taken from the walls of a pit to a depth of 7.8 nu and as a core to 16 m; ultraclean procedures were used. Detailed laboratory subsampling provided both long-term (secular scale) and short-term (intra-annual) Pb, Ba, and Pb isotope variations. The results show that there have been significant variations in Ph concentrations (range, 0.1 to 9.3 pg/g) and isotopic composition (range, 1.096 to 1,208 for Pb-206/Pb-207 ratio) since the 1840s. The data show evidence of pollution for this metal in Antarctica as early as the 1880s. Several Pb maxima were observed: the first at the beginning of the 20th century and the last in the 1970s to 1980s, with a clear decrease during recent years. Although the last maximum is clearly linked to the rise and fall in the use of leaded gasoline in the Southern Hemisphere, especially in South America, the reason for the first remains uncertain. The pattern of changing isotopic composition of Ph reveals the changing origin and character of the anthropogenic inputs to Antarctica. An interesting feature in this pattern is the relatively large contribution of unradiogenic Pb in the similar to1890s, possibly originating from Australia. Another interesting feature is the pronounced intra-annual variation in the isotopic composition of Pb, which illustrates the complexity of the changing inputs of Pb to Antarctica. Copyright (C) 2003 Elsevier Science Ltd.</t>
  </si>
  <si>
    <t>Curtin Univ Technol, Dept Appl Phys, Perth, WA 6845, Australia; CNRS, Lab Glaciol &amp; Geophys Environm, F-38402 St Martin Dheres, France; British Antarctic Survey, Cambridge CB3 0ET, England; Univ Grenoble 1, Inst Sci &amp; Tech Grenoble, F-38041 Grenoble, France; Univ Grenoble 1, Inst Univ France, Observ Sci Univers, F-38041 Grenoble, France; Univ Grenoble 1, Inst Univ France, Unite Format &amp; Rech Phys, F-38041 Grenoble, France</t>
  </si>
  <si>
    <t>Curtin University; Centre National de la Recherche Scientifique (CNRS); UK Research &amp; Innovation (UKRI); Natural Environment Research Council (NERC); NERC British Antarctic Survey; Communaute Universite Grenoble Alpes; Universite Grenoble Alpes (UGA); Institut Universitaire de France; Communaute Universite Grenoble Alpes; Universite Grenoble Alpes (UGA); Communaute Universite Grenoble Alpes; Universite Grenoble Alpes (UGA); Institut Universitaire de France</t>
  </si>
  <si>
    <t>Curtin Univ Technol, Dept Appl Phys, GPO Box U 1987, Perth, WA 6845, Australia.</t>
  </si>
  <si>
    <t>RRosmanK@cc.curtin.edu.au</t>
  </si>
  <si>
    <t>Wolff, Eric W/D-7925-2014; Frederic, Planchon A.M./A-8651-2010</t>
  </si>
  <si>
    <t>Wolff, Eric W/0000-0002-5914-8531; Planchon, Frederic/0000-0003-1288-9698</t>
  </si>
  <si>
    <t>10.1016/S0016-7037(02)01136-5</t>
  </si>
  <si>
    <t>643NB</t>
  </si>
  <si>
    <t>WOS:000180866400010</t>
  </si>
  <si>
    <t>Barker, DHN; Christeson, GL; Austin, JA; Dalziel, IWD</t>
  </si>
  <si>
    <t>Backarc basin evolution and cordilleran orogenesis: Insights from new ocean-bottom seismograph refraction profiling in Bransfield Strait, Antarctica</t>
  </si>
  <si>
    <t>backarc basin; extension; cordilleran orogenesis; Bransfield Strait; ocean bottom seismograph; seismic</t>
  </si>
  <si>
    <t>WEST-ANTARCTICA; MARGINAL-BASIN; HAVRE TROUGH; SCOTIA RIDGE; PLATE; PENINSULA; CONSTRAINTS; TECTONICS; VOLCANISM; ANDES</t>
  </si>
  <si>
    <t>Bransfield Strait, a backarc basin off the northwestern Antarctic Peninsula, is a modern analog for Cretaceous basins inverted in the compressional tectonic regime that initiated the Andean Cordillera. Eight new refraction ocean-bottom seismograph profiles in the strait demonstrate that crustal thickness in the deep central basin increases from northeast to southwest, from similar to10 km to similar to14-16 km. This confirms multichannel seismic interpretation of upper crustal structures suggesting that the Bransfield basin is opening by northeast to southwest rift propagation within arc crust of the Antarctic Peninsula, a process also recorded in the obducted Cretaceous Rocas Verdes basin of the southernmost Andes. Thinning is most prominent along the axis of the strait, where the crust is similar to9-11 km thick. In contrast, thicknesses beneath the Antarctic Peninsula margin and the inactive South Shetland Islands pedestal are similar to18 km and similar to24 km, respectively. Seismic velocities and thicknesses suggest that new oceanic crust is not yet being generated. Extension is focused along the northwest margin, imparting the physiographic asymmetry to the strait. Comparing the Bransfield basin with the inverted Rocas Verdes basin and intraoceanic counterparts in the western Pacific suggests that rift propagation and trench-side focusing of extension may be fundamental features of young backarc basins. Resultant asymmetry may facilitate observed obduction of backarc basin floor and arc rocks onto continental margins during compressional orogenesis.</t>
  </si>
  <si>
    <t>Barker, DHN (corresponding author), Inst Geol &amp; Nucl Sci, POB 30-368, Lower Hutt, New Zealand.</t>
  </si>
  <si>
    <t>Christeson, Gail/R-3777-2019; Austin, James/G-6135-2010; Dalziel, Ian W. D./G-5926-2010</t>
  </si>
  <si>
    <t>Christeson, Gail/0000-0002-4749-4429;</t>
  </si>
  <si>
    <t>10.1130/0091-7613(2003)031&lt;0107:BBEACO&gt;2.0.CO;2</t>
  </si>
  <si>
    <t>644BQ</t>
  </si>
  <si>
    <t>WOS:000180898400003</t>
  </si>
  <si>
    <t>Hemer, MA; Harris, PT</t>
  </si>
  <si>
    <t>Sediment core from beneath the Amery Ice Shelf, East Antarctica, suggests mid-Holocene ice-shelf retreat</t>
  </si>
  <si>
    <t>Antarctica; ice shelves; Holocene; diatoms; sedimentology</t>
  </si>
  <si>
    <t>PRYDZ BAY; ROSS SEA; ASSEMBLAGES; DIATOMS</t>
  </si>
  <si>
    <t>The stability of floating ice shelves is an important indicator of ocean circulation and ice-shelf mass balance. A sub-ice-shelf sediment core collected during the Austral summer of 2000-2001 from site AM02 (69degrees42.8'S, 72degrees38.4'E) on the Amery Ice Shelf, East Antarctica, contains a full and continuous record of glacial retreat. The AM02 core site is similar to80 km south of the floating ice shelf edge and contains a 0.5-m-thick Holocene surface layer of siliceous mud and diatom ooze of marine origin. Core data are supportive of sub-ice-shelf circulation models that predict the landward flow of oceanic water, and prove that the landward transport of hemipelagic sediments occurs beneath floating ice shelves over distances of at least similar to80 km. An increase in sea-ice-associated diatom deposition in the upper part of the Holocene suggests that a major retreat of the Amery Ice Shelf to at least 80 km landward of its present location may have occurred during the mid-Holocene climatic optimum.</t>
  </si>
  <si>
    <t>Univ Tasmania, Antarctic Cooperat Res Ctr, Hobart, Tas 7001, Australia; Univ Tasmania, Inst Antarctic &amp; So Ocean Studies, Hobart, Tas 7001, Australia</t>
  </si>
  <si>
    <t>Univ Tasmania, Antarctic Cooperat Res Ctr, GPOB 252-77, Hobart, Tas 7001, Australia.</t>
  </si>
  <si>
    <t>Harris, Peter/AAI-7100-2020; Hemer, Mark/M-1905-2013</t>
  </si>
  <si>
    <t>Hemer, Mark/0000-0002-7725-3474</t>
  </si>
  <si>
    <t>10.1130/0091-7613(2003)031&lt;0127:SCFBTA&gt;2.0.CO;2</t>
  </si>
  <si>
    <t>WOS:000180898400008</t>
  </si>
  <si>
    <t>Cabrol, NA; Grin, EA</t>
  </si>
  <si>
    <t>Overview on the formation of paleolakes and ponds on Mars</t>
  </si>
  <si>
    <t>Symposium on Subglacial Lakes</t>
  </si>
  <si>
    <t>SAN FRANCISCO, CALIFORNIA</t>
  </si>
  <si>
    <t>paleolake; Mars; ponds</t>
  </si>
  <si>
    <t>MARTIAN OUTFLOW CHANNELS; IMPACT CRATER LAKES; ORIGIN; ICE; SURFACE; EARTH; WATER; ATMOSPHERE; DEPOSITS; EROSION</t>
  </si>
  <si>
    <t>Lakes on Mars were formed under periglacial to glacial climates. Extreme conditions prevailed including freezing temperatures, low atmospheric pressure, high evaporation/sublimation rates, and liquid water reservoirs locked in aquifers below a thick cryosphere. Although many of the Martian paleolakes display evidence of a short period of activity consistent with these conditions, others display clear evidence of lifetimes ranging from 10(4) to 10(5) years. The discovery of young seeping processes in impact craters and pole-facing valley slopes along with young volcanic activity raise questions about the conditions and limitations of liquid water flow and potential lacustrine activity today on Mars. Current climate models show that in today's conditions there exist regions on Mars of sols above the triple point and below boiling point of water that could provide hydrogeological conditions comparable to these of the Antarctic Dry Valley lakes (with the exception of the atmosphere pressure). The locations of the most recent Martian paleolakes are correlated with these regions. Throughout the history of Mars, lakes generated diversified environments, which could have provided potential habitats for life. The recent discovery of young energy sources from volcanism and the potential for liquid water reinforces the possibility of extant life on Mars, and suggests recent ponds and ancient paleolakes as primary targets for rover and sample return missions. (C) 2002 Elsevier Science B.V All rights reserved.</t>
  </si>
  <si>
    <t>NASA, Ames Res Ctr, SETI Inst, Div Space Sci, Moffett Field, CA 94035 USA</t>
  </si>
  <si>
    <t>National Aeronautics &amp; Space Administration (NASA); NASA Ames Research Center</t>
  </si>
  <si>
    <t>Cabrol, NA (corresponding author), NASA, Ames Res Ctr, SETI Inst, Div Space Sci, MS 245-3, Moffett Field, CA 94035 USA.</t>
  </si>
  <si>
    <t>PII S0921-8181(02)00127-3</t>
  </si>
  <si>
    <t>10.1016/S0921-8181(02)00127-3</t>
  </si>
  <si>
    <t>634XA</t>
  </si>
  <si>
    <t>WOS:000180366700005</t>
  </si>
  <si>
    <t>Dowdeswell, JA; Siegert, MJ</t>
  </si>
  <si>
    <t>The physiography of modern Antarctic subglacial lakes</t>
  </si>
  <si>
    <t>SAN FRANCISCO, CA</t>
  </si>
  <si>
    <t>physiography; radio-echo sounding; subglacial lakes</t>
  </si>
  <si>
    <t>CENTRAL EAST ANTARCTICA; ERS-1 RADAR ALTIMETER; ICE-SHEET; VOSTOK; WATER; BENEATH; TRIBUTARIES; TOPOGRAPHY; STATION</t>
  </si>
  <si>
    <t>The size and distribution of Antarctic subglacial lakes have been investigated using airborne radio-echo sounding (RES) and satellite radar altimetry. Over 70 lakes have been identified beneath the ice sheet from distinctive, mirror-like reflectors observed on RES records. Almost 60% of lakes are found within 200 km of an ice divide and only about 15% are located &gt;500 km distant. The total volume of water stored in lakes beneath the Antarctic Ice Sheet is between 4000 and 12,000 km(3). The bedrock topography of the ice-sheet interior is characterized by large subglacial basins separated by mountain ranges. More than 60% of lake records have marginal bed gradients of &lt; 0.1, implying that many Antarctic subglacial lakes are found in areas of relatively low bed relief, in and on the margins of subglacial basins. First, there are those lakes located where subglacial topography is relatively subdued, often towards the centre of subglacial basins. Secondly, some lakes occur in significant topographic depressions, closer to subglacial basin margins. Lakes are also found perched on the sides of subglacial mountains. Sixteen lakes are located close to the transition from slow to enhanced ice-sheet flow. Warm-based fast-flowing ice streams provide a possible route by which subglacial lakes may establish a hydrological connection with the ice-sheet margin. At a continental scale, the locations of Antarctic subglacial lakes match the modeled distribution of pressure melting at the ice-sheet bed. (C) 2002 Elsevier Science B.V. All rights reserved.</t>
  </si>
  <si>
    <t>Univ Cambridge, Scott Polar Res Inst, Cambridge CB2 1ER, England; Univ Bristol, Sch Geog Sci, Bristol Glaciol Ctr, Bristol BS8 1SS, Avon, England</t>
  </si>
  <si>
    <t>University of Cambridge; University of Bristol</t>
  </si>
  <si>
    <t>jd16@cam.ac.uk; m.j.siegert@bristol.ac.uk</t>
  </si>
  <si>
    <t>Siegert, Martin/0000-0002-0090-4806; Siegert, Martin J/0000-0002-0090-4806; Dowdeswell, Julian/0000-0003-1369-9482</t>
  </si>
  <si>
    <t>PII S0921-8181(02)00128-5</t>
  </si>
  <si>
    <t>10.1016/S0921-8181(02)00128-5</t>
  </si>
  <si>
    <t>WOS:000180366700006</t>
  </si>
  <si>
    <t>Key, JR; Santek, D; Velden, CS; Bormann, N; Thépaut, JN; Riishojgaard, LP; Zhu, YQ; Menzel, WP</t>
  </si>
  <si>
    <t>Cloud-drift and water vapor winds in the polar regions from MODIS</t>
  </si>
  <si>
    <t>MODIS; numerical weather prediction; polar meteorology; satellite applications; winds</t>
  </si>
  <si>
    <t>METEOSAT; FORECASTS; SYSTEM; IMPACT; IMAGES</t>
  </si>
  <si>
    <t>Wind products from geostationary satellites have been generated for over 20 years and are now used in numerical weather prediction systems. However, geostationary satellites are of limited utility poleward of the midlatitudes. This study demonstrates the feasibility of deriving high latitude tropospheric wind information from polar-orbiting satellites. The methodology employed is based on the algorithms currently used with geostationary satellites, modified for use with the Moderate-Resolution Imaging Spectroradiometer (MODIS) infrared window and water vapor bands. These bands provide wind information throughout the troposphere in both clear and cloudy conditions. The project presents some unique challenges, including the irregularity of temporal sampling, varying viewing geometries, and uncertainties in wind vector height assignment as a result of low atmospheric water vapor amounts and thin clouds. A 30-day case study dataset has been produced and is being used in model impact studies. Preliminary results are encouraging: when the MODIS winds are assimilated in the European Centre for Medium Range Weather Forecasts (ECMWF) system and the NASA Data Assimilation Office system, forecasts of the geopotential height for the Arctic, the Northern Hemisphere extratropics, and the Antarctic are improved significantly.</t>
  </si>
  <si>
    <t>NOAA, Natl Environm Satellite Data &amp; Informat Serv, Off Res &amp; Applicat, Madison, WI 53706 USA; Univ Wisconsin, Cooperat Inst Meteorol Satellite Studies, Madison, WI 53706 USA; European Ctr Medium Range Weather Forecasts, Reading RG2 9AX, Berks, England; NASA, Goddard Space Flight Ctr, Data Assimilat Off, Greenbelt, MD 20771 USA</t>
  </si>
  <si>
    <t>National Oceanic Atmospheric Admin (NOAA) - USA; University of Wisconsin System; University of Wisconsin Madison; European Centre for Medium-Range Weather Forecasts (ECMWF); National Aeronautics &amp; Space Administration (NASA); NASA Goddard Space Flight Center</t>
  </si>
  <si>
    <t>Key, JR (corresponding author), NOAA, Natl Environm Satellite Data &amp; Informat Serv, Off Res &amp; Applicat, Madison, WI 53706 USA.</t>
  </si>
  <si>
    <t>Menzel, W. Paul/B-8306-2011; Key, Jeffrey R./AAB-7248-2020; THEPAUT, Jean-Noel/AAK-7546-2020; Thepaut, Jean-Noel/IWU-7629-2023</t>
  </si>
  <si>
    <t>Menzel, W. Paul/0000-0001-5690-1201; Bormann, Niels/0000-0001-5302-6093</t>
  </si>
  <si>
    <t>345 E 47TH ST, NEW YORK, NY 10017-2394 USA</t>
  </si>
  <si>
    <t>10.1109/TGRS.2002.808238</t>
  </si>
  <si>
    <t>671ZB</t>
  </si>
  <si>
    <t>WOS:000182494600029</t>
  </si>
  <si>
    <t>Broggi, A; Cellario, M; Lombardi, P; Porta, M</t>
  </si>
  <si>
    <t>An evolutionary approach to visual sensing for vehicle navigation</t>
  </si>
  <si>
    <t>IEEE TRANSACTIONS ON INDUSTRIAL ELECTRONICS</t>
  </si>
  <si>
    <t>ant systems; automatic vehicle guidance; evolutionary algorithms; intelligent transportation systems (ITS); intelligent vehicles; machine vision</t>
  </si>
  <si>
    <t>INTELLIGENT VEHICLES; VISION</t>
  </si>
  <si>
    <t>This paper presents an evolutionary approach able to process a digital image and detect tracks left by preceding vehicles on ice and snow in Antarctica. Biologically inspired by a colony of ants able to interact and cooperate to determine the shortest path to the food, this approach is based on autonomous agents moving along the image pixels and iteratively improving an initial coarse solution. The unfriendly Antarctic environment makes this image analysis problem extremely challenging, since light reflections, abruptly varying brightness conditions, and different terrain slopes must be considered as well. The ant-based approach is compared to a more traditional Hough-based solution and the results are discussed.</t>
  </si>
  <si>
    <t>Univ Parma, Dipartimento Ingn Informaz, I-43100 Parma, Italy; Univ Parma, Dipartimento Informat &amp; Sistemist, I-27100 Parma, Italy</t>
  </si>
  <si>
    <t>University of Parma; University of Parma</t>
  </si>
  <si>
    <t>Broggi, A (corresponding author), Univ Parma, Dipartimento Ingn Informaz, I-43100 Parma, Italy.</t>
  </si>
  <si>
    <t>Porta, Marco/ACW-5714-2022; Lombardi, Paolo/AAD-6751-2022</t>
  </si>
  <si>
    <t>Broggi, Alberto/0000-0002-0893-1331; Lombardi, Paolo/0009-0003-5997-3384</t>
  </si>
  <si>
    <t>0278-0046</t>
  </si>
  <si>
    <t>IEEE T IND ELECTRON</t>
  </si>
  <si>
    <t>IEEE Trans. Ind. Electron.</t>
  </si>
  <si>
    <t>10.1109/TIE.2002.807688</t>
  </si>
  <si>
    <t>Automation &amp; Control Systems; Engineering, Electrical &amp; Electronic; Instruments &amp; Instrumentation</t>
  </si>
  <si>
    <t>Automation &amp; Control Systems; Engineering; Instruments &amp; Instrumentation</t>
  </si>
  <si>
    <t>640XJ</t>
  </si>
  <si>
    <t>WOS:000180713800003</t>
  </si>
  <si>
    <t>Bol'shakov, VA</t>
  </si>
  <si>
    <t>A possible method for the identification of geomagnetic paleointensity variations at nearly orbital periods and determination of their origin</t>
  </si>
  <si>
    <t>IZVESTIYA-PHYSICS OF THE SOLID EARTH</t>
  </si>
  <si>
    <t>EARTHS MAGNETIC-FIELD; ASTRONOMICAL THEORY; INTENSITY VARIATION; ATLANTIC-OCEAN; ANTARCTIC ICE; CLIMATE; CYCLES; SUSCEPTIBILITY; PLEISTOCENE; PALEOCLIMATE</t>
  </si>
  <si>
    <t>The determination of paleointensity variations from sedimentary rocks is discussed. Particular attention is given to the identification of paleointensity variations whose periods are close to orbital ones. The incorporation of the effect of climatic variations on the formation of the natural remanent magnetization in Pleistocene rocks is shown to be one of the major problems in the correct determination of paleointensity variations. A method partially accounting for this effect is proposed.</t>
  </si>
  <si>
    <t>Moscow MV Lomonosov State Univ, Moscow 119899, Russia</t>
  </si>
  <si>
    <t>Lomonosov Moscow State University</t>
  </si>
  <si>
    <t>Bol'shakov, VA (corresponding author), Moscow MV Lomonosov State Univ, Moscow 119899, Russia.</t>
  </si>
  <si>
    <t>Bol'shakov, Vyacheslav/L-7915-2015</t>
  </si>
  <si>
    <t>1069-3513</t>
  </si>
  <si>
    <t>IZV-PHYS SOLID EART+</t>
  </si>
  <si>
    <t>Izv.-Phys. Solid Earth</t>
  </si>
  <si>
    <t>649TH</t>
  </si>
  <si>
    <t>WOS:000181223700005</t>
  </si>
  <si>
    <t>Foppiano, AJ; Torres, XA; Arriagada, MA; Flores, PA</t>
  </si>
  <si>
    <t>Meridional thertnospheric winds over the Antarctic Peninsula longitude sector</t>
  </si>
  <si>
    <t>thermosphere; antarctic peninsula sector; neutral winds; ionosonde data</t>
  </si>
  <si>
    <t>ELECTRON-CONCENTRATION; NEUTRAL WINDS; F2-LAYER; HEIGHT; MODEL; IONOSPHERE; IONIZATION</t>
  </si>
  <si>
    <t>Diurnal variations of the magnetic meridional component of the thermospheric neutral wind have been derived for Port Stanley (51.7degreesS; 57.8degreesW), King George Island (62.2degreesS, 58.8degreesW) and Argentine Islands (65.3degreesS; 64.3degreesW). A servo-model based algorithm and two semiempirical procedures are used with ionosonde data input. Derived winds correspond to conditions of low geomagnetic activity and both low and high solar activity for months representative of autumn, winter, spring and summer. The shapes of the diurnal variations determined using the three different methods for a given location and month are fairly similar for all three locations and most months. Wind velocities at a given hour, however, may generally differ by 100 m/s and by up to a few hundred m/s in a few cases. The amplitude of the diurnal variations is larger in winter than summer for all latitudes and at both low and high solar activity, and generally larger at low solar activity. Daily mean winds are poleward in winter and equatorward in summer at low solar activity for all latitudes but are poleward all the year round during high solar activity, and stronger during winter. There is almost no latitudinal dependence of the daily mean winds in summer and autumn, with velocities being less than about 25 m/s. By contrast,, winter daily mean winds change with latitude, particularly during low solar activity. Moreover, there seems to be a latitude at which the mean wind velocity is minimal both at low and high solar activity. A Fourier decomposition of the diurnal variations for all cases shows that all variations can be reproduced using-at the most the first three Fourier components. Results are discussed with reference to other published wind determinations for the Antarctic Peninsula area and for the New Zealand longitude sector, and with reference to winds derived using the well-known HWM93 empirical model. (C) 2003 Elsevier Science Ltd. All rights reserved.</t>
  </si>
  <si>
    <t>Univ Concepcion, Concepcion, Chile; Univ Bio Bio, Concepcion, Chile</t>
  </si>
  <si>
    <t>Universidad de Concepcion; Universidad del Bio-Bio</t>
  </si>
  <si>
    <t>Foppiano, AJ (corresponding author), Univ Concepcion, Casilla 160-C, Concepcion, Chile.</t>
  </si>
  <si>
    <t>foppiano@udec.cl</t>
  </si>
  <si>
    <t>PII S1364-6826(02)00287-0</t>
  </si>
  <si>
    <t>10.1016/S1364-6826(02)00287-0</t>
  </si>
  <si>
    <t>650EL</t>
  </si>
  <si>
    <t>WOS:000181249800006</t>
  </si>
  <si>
    <t>Corney, RC; Burns, GB; Michael, K; Frank-Kamenetsky, AV; Troshichev, OA; Bering, EA; Papitashvili, VO; Breed, AM; Duldig, ML</t>
  </si>
  <si>
    <t>The influence of polar-cap convection on the geoelectric field at Vostok, Antarctica</t>
  </si>
  <si>
    <t>global electric circuit; geoelectric field; atmospheric electricity; polar-cap convection</t>
  </si>
  <si>
    <t>INTERPLANETARY MAGNETIC-FIELD; ATMOSPHERIC ELECTRIC-FIELD; IONOSPHERIC CONVECTION; SOUTH-POLE; MODEL; POTENTIALS; CIRCUIT</t>
  </si>
  <si>
    <t>Vertical geoelectric field measurements at Vostok, Antarctica (78.5degreesS, 107degreesE; corrected geomagnetic latitude, 83.4degreesS) made during 1998 are compared with both Weimer (1996) and IZMEM (1994) model calculations of the solar-wind-induced, polar-cap potential differences with respect to the station. By investigating the correlations between these parameters for individual UT hours, we confirm and extend the diurnal range over which significant correlations have been obtained. Nineteen individual UT hours are significantly correlated with the Weimer model predictions and nine with the IZMEM model predictions. Diurnal variation in the slopes of the linear regressions allows us to comment on each model, demonstrating that Antarctic polar plateau geoelectric field measurements can be used to investigate polar convection. Seasonal variations in the diurnal electric field variations at Vostok are compared with the Carnegie global electric circuit diurnal curves, after allowance is made for the solar-wind-induced, polar-cap potential difference patterns. Crown Copyright (C) 2003 Published by Elsevier Science Ltd. All rights reserved.</t>
  </si>
  <si>
    <t>Australian Antarctic Div, Kingston, Tas 7050, Australia; Univ Tasmania, Inst Antarctic &amp; So Ocean Studies, Hobart, Tas 7001, Australia; Arctic &amp; Antarctic Res Inst, St Petersburg 194175, Russia; Univ Houston, Dept Phys, Houston, TX 77204 USA; Univ Michigan, Space Phys Res Lab, Ann Arbor, MI 48109 USA</t>
  </si>
  <si>
    <t>Australian Antarctic Division; University of Tasmania; Arctic &amp; Antarctic Research Institute; University of Houston System; University of Houston; University of Michigan System; University of Michigan</t>
  </si>
  <si>
    <t>gary.burns@antdiv.gov.au</t>
  </si>
  <si>
    <t>; Michael, Kelvin/J-7217-2014</t>
  </si>
  <si>
    <t>Papitashvili, Vladimir/0000-0001-6955-4894; Duldig, Marcus/0000-0001-7463-8267; Michael, Kelvin/0000-0002-5427-7393</t>
  </si>
  <si>
    <t>PII S1364-6826(02)00225-0</t>
  </si>
  <si>
    <t>10.1016/S1364-6826(02)00225-0</t>
  </si>
  <si>
    <t>WOS:000181249800010</t>
  </si>
  <si>
    <t>Maffia, M; Rizzello, A; Acierno, R; Verri, T; Rollo, M; Danieli, A; Döring, F; Daniel, H; Storelli, C</t>
  </si>
  <si>
    <t>Characterisation of intestinal peptide transporter of the Antarctic haemoglobinless teleost Chionodraco hamatus</t>
  </si>
  <si>
    <t>brush-border membrane vesicle; Xenopus laevis oocyte; PepT1; H+/peptide cotransport; fish; intestine; Antarctic fish</t>
  </si>
  <si>
    <t>BETA-LACTAM ANTIBIOTICS; RAT H+/PEPTIDE COTRANSPORTER; CARDIAC NA+/CA2+ EXCHANGER; BRUSH-BORDER MEMBRANES; ABSORPTION; TEMPERATURE; CLONING; SYSTEM; IDENTIFICATION; OLIGOPEPTIDES</t>
  </si>
  <si>
    <t>H+/peptide cotransport was studied in brush-border membrane vesicles (BBMV) from the intestine of the haemoglobinless Antarctic teleost Chionodraco hamatus by monitoring peptide-dependent intravesicular acidification with the pH-sensitive dye Acridine Orange. Diethylpyrocarbonate-inhibited intravesicular acidification was specifically achieved in the presence of extravesicular glycyl-L-proline (Gly-L-Pro) as well as of glycyl-L-alanine (Gly-L-Ala) and D-phenylalanyl-L-alanine (D-Phe-L-Ala). H+/Gly-L-Pro cotransport displayed saturable kinetics, involving a single carrier system with an apparent substrate affinity (K-m,K-app) of 0.806+/-0.161 mmol l(-1). Using degenerated primers from eel and human (PepT1) transporter sequence, a reverse transcription-polymerase chain reaction (RT-PCR) signal was detected in C. hamatus intestine. RT-PCR paralleled kinetic analysis, confirming the hypothesis of the existence of a PepT1-type transport system in the brush-border membranes of icefish intestine. Functional expression of H+/peptide cotransport was successfully performed in Xenopus laevis oocytes after injection of poly(A)(+) RNA (mRNA) isolated from icefish intestinal mucosa. Injection of mRNA stimulated DPhe-L-Ala uptake in a dose-dependent manner and an excess of glycyl-L-glutamine inhibited this transport. H+/peptide cotransport in the Antarctic teleost BBMV exhibited a marked difference in temperature optimum with respect to the temperate teleost Anguilla anguilla, the maximal activity rate occurring at approximately 0degreesC for the former and 25degreesC for the latter. Temperature dependence of icefish and eel intestinal mRNA-stimulated uptake in the heterologous system (oocytes) was comparable.</t>
  </si>
  <si>
    <t>Univ Lecce, Dept Biol &amp; Environm Sci &amp; Technol, Lab Gen Physiol, I-73100 Lecce, Italy; Tech Univ Munich, Inst Nutr Sci Physiol &amp; Biochem Nutr, D-85350 Freising Weihenstephan, Germany</t>
  </si>
  <si>
    <t>University of Salento; Technical University of Munich</t>
  </si>
  <si>
    <t>Univ Lecce, Dept Biol &amp; Environm Sci &amp; Technol, Lab Gen Physiol, Strada Prov Lecce Monteroni, I-73100 Lecce, Italy.</t>
  </si>
  <si>
    <t>m.maffia@physiology.unile.it</t>
  </si>
  <si>
    <t>Daniel, Hannelore/B-8982-2009; Döring, Frank/E-9483-2010; MAFFIA, MICHELE/AAC-2943-2020; Verri, Tiziano/K-1442-2013</t>
  </si>
  <si>
    <t>Verri, Tiziano/0000-0003-4983-2767</t>
  </si>
  <si>
    <t>10.1242/jeb.00145</t>
  </si>
  <si>
    <t>648YJ</t>
  </si>
  <si>
    <t>WOS:000181179100008</t>
  </si>
  <si>
    <t>Bradshaw, CJA; Barker, RJ; Harcourt, RG; Davis, LS</t>
  </si>
  <si>
    <t>Estimating survival and capture probability of fur seal pups using multistate mark-recapture models</t>
  </si>
  <si>
    <t>JOURNAL OF MAMMALOGY</t>
  </si>
  <si>
    <t>Arctocephalus forsteri; mark-recapture; multistate model; New Zealand fur seal; pinniped; survival; transition</t>
  </si>
  <si>
    <t>ARCTOCEPHALUS-PUSILLUS-PUSILLUS; NEW-ZEALAND; SOUTH GEORGIA; CALLORHINUS-URSINUS; EARLY MORTALITY; ELEPHANT SEALS; RED DEER; TAG LOSS; POPULATION; GROWTH</t>
  </si>
  <si>
    <t>We use a multistate mark-recapture model incorporating information on body mass, sex, time of capture, and natal colony to estimate the probabilities of survival, capture, and mass-state transition of New Zealand fur seal (Arctocephalus forsteri) pups from 3 sites (colonies) on Otago Peninsula, South Island, New Zealand. Apparent survival for a mean sampling interval of 47 days was high (greater than or equal to0.850) after correcting for tag loss, and there was evidence that there were differences between sexes and among sites even after controlling for mass at capture. Survival did not differ among body-mass classes. Heavier pups had lower capture probabilities; however, differences in mass adequately explained any potential differences in capture probability due to sex. State-transition probabilities among mass classes also differed with time of capture, and between sexes and among sites. Although bias in estimates of survival probability is minimal when survival is high, heterogeneity in capture probabilities among different classes of individuals can bias estimates of pup growth rate and sex ratio. We recommend measuring mass of individuals and incorporating this and perhaps other pertinent information into multistate mark-recapture models when attempting to estimate survival and to determine the effect of capture probability on estimates of other life-history parameters.</t>
  </si>
  <si>
    <t>Univ Otago, Dept Math &amp; Stat, Dunedin, New Zealand; Macquarie Univ, Grad Sch Environm, Marine Mammal Res Grp, Sydney, NSW 2109, Australia; Univ Otago, Dept Zool, Dunedin, New Zealand</t>
  </si>
  <si>
    <t>University of Otago; Macquarie University; University of Otago</t>
  </si>
  <si>
    <t>Bradshaw, Corey J. A./A-1311-2008; Davis, Lloyd/HJI-3533-2023</t>
  </si>
  <si>
    <t>Bradshaw, Corey J. A./0000-0002-5328-7741; Harcourt, Robert/0000-0003-4666-2934</t>
  </si>
  <si>
    <t>ALLIANCE COMMUNICATIONS GROUP DIVISION ALLEN PRESS</t>
  </si>
  <si>
    <t>810 EAST 10TH STREET, LAWRENCE, KS 66044 USA</t>
  </si>
  <si>
    <t>0022-2372</t>
  </si>
  <si>
    <t>J MAMMAL</t>
  </si>
  <si>
    <t>J. Mammal.</t>
  </si>
  <si>
    <t>10.1644/1545-1542(2003)084&lt;0065:ESACPO&gt;2.0.CO;2</t>
  </si>
  <si>
    <t>653BE</t>
  </si>
  <si>
    <t>WOS:000181414700006</t>
  </si>
  <si>
    <t>Ansorge, IJ; Lutjeharms, JRE</t>
  </si>
  <si>
    <t>Eddies originating at the South-West Indian Ridge</t>
  </si>
  <si>
    <t>oceanic variability; Southern Ocean; South-West Indian Ridge; eddies; TOPEX/ERS altimetry</t>
  </si>
  <si>
    <t>PRINCE-EDWARD-ISLANDS; ANTARCTIC CIRCUMPOLAR CURRENT; TOPEX/POSEIDON MISSION; FRONTAL STRUCTURE; GEOSAT ALTIMETRY; CROZET BASIN; OCEAN TIDES; AFRICA; VARIABILITY; CIRCULATION</t>
  </si>
  <si>
    <t>The mesoscale variability of flow in the Southern Ocean is markedly intensified along the Subtropical Convergence as well as at a small number of distinct spots, the latter seemingly related to shallower parts of the bottom topography. A very prominent example of such a spot corresponds with the location where the core of the Antarctic Circumpolar Current crosses the South-West Indian Ridge. The variability in this particular spot consists of well-developed positive as well as negative anomalies in sea surface height that may represent anticyclonic and cyclonic eddies. Based on satellite altimetry, it is shown that these flow anomalies exhibit specific trajectories beyond their generation region at the South-West Indian Ridge, one of which takes them past the Prince Edward Islands. Using extensive hydrographic observations, we describe the dimensions and T/S characteristics of some of the features identified in the altimetry that have passed these islands. In this way, we successfully verify that they are indeed eddies, thus providing evidence that the fracture zone in the South-West Indian Ridge is a source of eddies for the downstream region. (C) 2002 Elsevier Science B.V. All rights reserved.</t>
  </si>
  <si>
    <t>Univ Cape Town, Dept Oceanog, ZA-7700 Rondebosch, South Africa</t>
  </si>
  <si>
    <t>Ansorge, IJ (corresponding author), Univ Cape Town, Dept Oceanog, ZA-7700 Rondebosch, South Africa.</t>
  </si>
  <si>
    <t>ansorge@physci.uct.ac.za</t>
  </si>
  <si>
    <t>ANSORGE, ISABELLE/AAY-7396-2020</t>
  </si>
  <si>
    <t>Ansorge, Isabelle/0000-0001-7071-8147</t>
  </si>
  <si>
    <t>10.1016/S0924-7963(02)00243-9</t>
  </si>
  <si>
    <t>642PG</t>
  </si>
  <si>
    <t>WOS:000180812400001</t>
  </si>
  <si>
    <t>Wilce, RT; Maggs, CA; Sears, JR</t>
  </si>
  <si>
    <t>Waernia mirabilis gen. nov., sp nov (Dumontiaceae, Gigartinales):: A new noncoralline crustose red alga from the Northwestern Atlantic Ocean and its relationship to Gainia and Blinksia</t>
  </si>
  <si>
    <t>biogeography; Blinksia; Blinksiaceae; Dumontiaceae; Gainia; Gainiaceae; postfertilization development; taxonomy; Waernia</t>
  </si>
  <si>
    <t>ALCYONIUM-SIDERIUM VERRILL; LIFE-HISTORY; MARINE-ALGAE; JUVENILE ECOLOGY; NORTH PACIFIC; RHODOPHYTA; FAMILY; CRYPTONEMIALES; VARIABILITY; MORPHOLOGY</t>
  </si>
  <si>
    <t>Waernia mirabilis Wilce, Maggs et Sears, gen. et sp. nov., is described for an encrusting red alga endemic to the northeastern North Atlantic Ocean. Its perennial thalli form major understory populations that may outcompete Corallinaceae and Hildenbrandiaceae in some habitats. Crustose red algae with isomorphic gametophytes and tetrasporophytes other than Corallinaceae are poorly known; Waernia differs vegetatively and reproductively from any other such algae. Gametangia are similar to those of the monotypic uncalcified crustose genera Blinksia and Gainia endemic to the Antarctic and central coastal California, respectively. Comparison of Waernia with type material of Blinksia californica Abbott &amp; Hollenberg and Gainia mollis Moe shows that it differs from Blinksia in lacking cohesive crusts in which adjacent cells cohere by direct fusions and by its strongly recurved, rather than straight, carpogonial branches. Gainia and Waernia both have strongly recurved carpogonial branches and laxly constructed crusts that lack secondary pit connections. Gainia differs from Waernia in its considerably larger and thicker crusts, non-nemathecial tetrasporangia, shorter carpogonial branches, and its consistently single gonimoblast initial. We continue to recognize the family Blinksiaceae as a probable member of the Gigartinales with uncertain affinities. Waernia is assigned to the Dumontiaceae (Gigartinales), as its first described isomorphic crustose member. It is also the only genus and one of few algal species endemic to northeastern North America. Waernia either arrived at its present distribution via migration from a Tertiary polar ocean or evolved from an unknown ancestor in a newly formed boreal northwest Atlantic Ocean during post-Oligocene millennia.</t>
  </si>
  <si>
    <t>Queens Univ Belfast, Sch Biol &amp; Biochem, Belfast BT9 7BL, Antrim, North Ireland; Univ Massachusetts, Dept Biol, Amherst, MA 01003 USA; Univ Massachusetts, Dept Biol, N Dartmouth, MA 02747 USA</t>
  </si>
  <si>
    <t>Queens University Belfast; University of Massachusetts System; University of Massachusetts Amherst; University of Massachusetts System; University Massachusetts Dartmouth</t>
  </si>
  <si>
    <t>Queens Univ Belfast, Sch Biol &amp; Biochem, Belfast BT9 7BL, Antrim, North Ireland.</t>
  </si>
  <si>
    <t>c.maggs@qub.ac.uk</t>
  </si>
  <si>
    <t>Maggs, Anthony C/F-2947-2015</t>
  </si>
  <si>
    <t>Maggs, Christine/0000-0003-0495-7064</t>
  </si>
  <si>
    <t>1529-8817</t>
  </si>
  <si>
    <t>10.1046/j.1529-8817.2003.02037.x</t>
  </si>
  <si>
    <t>642JT</t>
  </si>
  <si>
    <t>WOS:000180800900019</t>
  </si>
  <si>
    <t>Fu, LL</t>
  </si>
  <si>
    <t>Wind-forced intraseasonal sea level variability of the extratropical oceans</t>
  </si>
  <si>
    <t>DRIVEN CURRENT FLUCTUATIONS; WESTERN NORTH-ATLANTIC; SATELLITE ALTIMETRY; TOPEX/POSEIDON ALTIMETER; PACIFIC; CIRCULATION; WAVES; OSCILLATIONS</t>
  </si>
  <si>
    <t>Seven years' worth of sea level observations from the TOPEX/Poseidon altimeters and wind observations from the European Remote-Sensing Satellites (ERS-1/2) scatterometers were used to investigate the dynamics of large-scale intraseasonal sea level variability at mid- and high latitudes. Coherent patterns of sea level variability with spatial scales of 1000 km and timescales of 20 days to 1 year are identified in three particular regions: the Bellingshausen Basin west of Drake Passage, the Australian-Antarctic Basin, and the central North Pacific Ocean (30degrees-50degreesN) near the date line. Significant coherence is found between wind stress curl and the sea level variability. A simple barotropic vorticity equation, in which the time rate of relative vorticity variation is balanced by the wind stress curl and a damping term, is used to simulate the sea level anomalies with a significant degree of correlation with the observations. Although the coherence between the simulation and the observation is significant from periods of 30 days to 1 yr, the variance of the simulation is too low at periods shorter than 100 days. This is probably caused by the errors in the wind forcing as well as the other terms neglected in the vorticity equation. The simulation requires a damping timescale generally longer than 20 days, consistent with theoretical estimates of the dissipation timescales of a frictional bottom boundary layer. In the Bellingshausen Basin, the phase of the coherence between sea level and wind stress curl also shows dependence on frequency according to the dissipation mechanism and estimated damping timescales. However, the results at the other two locations are less conclusive.</t>
  </si>
  <si>
    <t>CALTECH, Jet Prop Lab, Pasadena, CA 91101 USA</t>
  </si>
  <si>
    <t>Fu, LL (corresponding author), CALTECH, Jet Prop Lab, 4800 Oak Grove Dr, Pasadena, CA 91101 USA.</t>
  </si>
  <si>
    <t>10.1175/1520-0485(2003)033&lt;0436:WFISLV&gt;2.0.CO;2</t>
  </si>
  <si>
    <t>642VW</t>
  </si>
  <si>
    <t>WOS:000180827000008</t>
  </si>
  <si>
    <t>Brentnall, SJ; Richards, KJ; Brindley, J; Murphy, E</t>
  </si>
  <si>
    <t>Plankton patchiness and its effect on larger-scale productivity</t>
  </si>
  <si>
    <t>MODEL; POPULATIONS</t>
  </si>
  <si>
    <t>We investigate systematically the effect of small-scale biological and physical processes on the generation of plankton patchiness, and on the biological production averaged over scales much larger than those of the patches. We use an excitable reaction-diffusion model with one physical dimension and two biological compartments: zooplanktonic predators Z and phytoplanktonic prey P. It is assumed that the assimilation efficiency is of order 0.1. With sinusoidal initial conditions, the maximum in domain-averaged P is about six times that which would be estimated assuming spatial homogeneity. With random initial conditions similar enhancement factors are obtained and patches emerge of characteristic size, proportional to the square root of the diffusivity as in classical work on simpler systems. Both the patch size and the production show large variances across ensembles of integrations initialized randomly but with the same mean. For both sinusoidal and random initial conditions, the most extreme effect is obtained when the phytoplankton growth rate is between one and four times the rate of diffusion, and when the mean initial condition lies close to the excitation threshold; the effect of varying the initial conditions is also considered. A bi-stable version of the plankton dynamics produces a quasi-stable patchy state of the model with mean properties far from those of either equilibrium. These results illustrate both the desirability of high-resolution observations of plankton, and that caution is required in using 'mean field' plankton dynamics in large-scale biophysical models of the ocean.</t>
  </si>
  <si>
    <t>Univ Southampton, Sch Ocean &amp; Earth Sci, Cambridge, England; Univ Leeds, Dept Math Appl, Cambridge, England; British Antarctic Survey, Cambridge CB3 0ET, England</t>
  </si>
  <si>
    <t>University of Southampton; NERC National Oceanography Centre; University of Leeds; UK Research &amp; Innovation (UKRI); Natural Environment Research Council (NERC); NERC British Antarctic Survey</t>
  </si>
  <si>
    <t>Brentnall, SJ (corresponding author), Univ Sheffield, Dept Anim &amp; Plant Sci, Sheffield S10 2TN, S Yorkshire, England.</t>
  </si>
  <si>
    <t>Brentnall, Stuart/0009-0001-7855-7584</t>
  </si>
  <si>
    <t>10.1093/plankt/25.2.121</t>
  </si>
  <si>
    <t>652WL</t>
  </si>
  <si>
    <t>WOS:000181403800001</t>
  </si>
  <si>
    <t>Llewellyn, CA; Harbour, DS</t>
  </si>
  <si>
    <t>A temporal study of mycosporine-like amino acids in surface water phytoplankton from the English Channel and correlation with solar irradiation</t>
  </si>
  <si>
    <t>UV-ABSORBING COMPOUNDS; ULTRAVIOLET-RADIATION; PHOTOINDUCTION; ACCUMULATION; PARTICULATE; ABSORPTION; PROTECTION; ORGANISMS; OCEAN</t>
  </si>
  <si>
    <t>A seasonal survey was undertaken, over a year, of phytoplankton from surface water in the western English Channel (Station L4) measuring mycosporine-like amino acids (MAAs), photosynthetic pigments and microscopic counts. Ground level solar radiation (ultraviolet-B, ultraviolet-A and photosynthetically active radiation; UV-B, UV-A and PAR) was measured at a nearby site. From this we estimated in situ solar irradiance received by phytoplankton using measurements of the mixed layer depth and calculations of the 50% light level cut-off. The MAAs occurred year round, with concentrations increasing rapidly during spring and summer (maximum 8.5 mug l(-1)) to levels exceeding those of chlorophyll-a (chl-a maximum 3.6 mug l(-1)). On two occasions, increases in specific MAAs coincide with algal blooms. In spring, increases in mycosporine-glycine (lambda(max) 310 nm in the UV-B) coincide with a bloom of the prymnesiophyte Phaeocystis pouchetii and in July and August increases in an unidentified MAA (lambda(max) x 328 nm) match a bloom of the diatom, Guinardia striata (=Rhizosolenia stolterfothii). Concentration of MAAs, but not chlorophyll, correlate with in situ irradiance. The ratio of MAA to chl-a increases linearily with in situ irradiance received by phytoplankton reaching 13.9 nmol MAA (nmol chl-a)(-1) at 101 WM-2. Evidence of photoinduction is observed during the P pouchetii bloom with a four fold increase in the concentration of mycosporine-glycine (maximum 2 pg cell(-1)) as UV-B:PAR ratio increases from 0.0011 to 0.0014. Dinoflagellates, although contributing to &lt; 10% of biomass, are found through the correlation of MAAs to the biomarker peridinin, to contribute to baseline levels of MAAs throughout the year. Our MAA: chl-a values for the English Channel are similar to those measured in coastal areas of southern USA. Similarities with studies on Antarctic phytoplankton are also found with the dominance of porphra-334 and the presence of mycosporine-glycine in P. pouchetti.</t>
  </si>
  <si>
    <t>Plymouth Marine Lab, Plymouth PL1 3DH, Devon, England; Sir Alister Hardy Fdn Ocean Sci, Plymouth PL1 2PB, Devon, England</t>
  </si>
  <si>
    <t>Plymouth Marine Laboratory</t>
  </si>
  <si>
    <t>Llewellyn, CA (corresponding author), Plymouth Marine Lab, Prospect Pl,The Hoe, Plymouth PL1 3DH, Devon, England.</t>
  </si>
  <si>
    <t>call@pml.ac.uk</t>
  </si>
  <si>
    <t>Llewellyn, Carole/0000-0003-1545-5190</t>
  </si>
  <si>
    <t>10.1017/S0025315403006726h</t>
  </si>
  <si>
    <t>656XZ</t>
  </si>
  <si>
    <t>WOS:000181637500001</t>
  </si>
  <si>
    <t>Yabuki, M; Shiobara, M; Kobayashi, H; Hayashi, M; Hara, K; Osada, K; Kuze, H; Takeuchi, N</t>
  </si>
  <si>
    <t>Optical properties of aerosols in the marine boundary layer during a cruise from Tokyo, Japan to Fremantle, Australia</t>
  </si>
  <si>
    <t>ATMOSPHERIC AEROSOL; OCEAN; INDEX</t>
  </si>
  <si>
    <t>Shipboard aerosol measurements in the marine boundary layer (MBL) were carried out over the western Pacific Ocean through the eastern Indian Ocean during a cruise of the Antarctic research vessel Shirase from Tokyo, Japan to Fremantle, Australia in November 2000, as part, of the 42nd Japanese Antarctic Research Expedition (JARE42) activities. The latitudinal variation of aerosol optical, properties. is investigated with the origin of,aerosols. For elucidation of aerosol properties, a method for retrieving the complex refractive index from combined measurements is proposed using an optical particle counter,,an integrating nephelometer and a particle soot absorption photometer. Backward trajectory analyses indicate three regions that are characterized by three distinct aerosol types: anthropogenic/continental aerosols (30degrees-33.5degreesN), maritime aerosols (3degrees-28degreesN), and biomass-burning aerosols (12degrees-2degreesS). Retrieval of the imaginary part of the complex refractive index is successfully achieved by the proposed method, resulting in mean values of 0.0056, 0.0003, and 0.0036 for anthropogenic/continental, maritime, and biomass-burning aerosols, respectively.</t>
  </si>
  <si>
    <t>Chiba Univ, Ctr Environm Remote Sensing, Inage Ku, Chiba 2638522, Japan; Natl Inst Polar Res, Tokyo 173, Japan; Yamanashi Univ, Dept Ecosocial Syst Engn, Yamanashi, Japan; Fukuoka Univ, Dept Earth Syst Sci, Fukuoka, Japan; Nagoya Univ, Grad Sch Environm Studies, Nagoya, Aichi, Japan</t>
  </si>
  <si>
    <t>Chiba University; Research Organization of Information &amp; Systems (ROIS); National Institute of Polar Research (NIPR) - Japan; University of Yamanashi; Fukuoka University; Nagoya University</t>
  </si>
  <si>
    <t>Chiba Univ, Ctr Environm Remote Sensing, Inage Ku, 1-33 Yayoi Chi, Chiba 2638522, Japan.</t>
  </si>
  <si>
    <t>yabuki@ceres.cr.chiba-u.ac.jp</t>
  </si>
  <si>
    <t>Kuze, Hiroaki/W-2097-2019; Hara, Keiichiro/N-8264-2018; Osada, Kazuo/I-6395-2014</t>
  </si>
  <si>
    <t>Kuze, Hiroaki/0000-0002-6761-4088; Hara, Keiichiro/0000-0001-7440-7776; Osada, Kazuo/0000-0003-3100-5835</t>
  </si>
  <si>
    <t>METEOROLOGICAL SOC JAPAN</t>
  </si>
  <si>
    <t>C/O JAPAN METEOROLOGICAL AGENCY 1-3-4 OTE-MACHI, CHIYODA-KU, TOKYO, 100-0004, JAPAN</t>
  </si>
  <si>
    <t>2186-9057</t>
  </si>
  <si>
    <t>10.2151/jmsj.81.151</t>
  </si>
  <si>
    <t>668DU</t>
  </si>
  <si>
    <t>WOS:000182275700010</t>
  </si>
  <si>
    <t>Kibirige, I; Perissinotto, R</t>
  </si>
  <si>
    <t>In situ feeding rates and grazing impact of zooplankton in a South African temporarily open estuary</t>
  </si>
  <si>
    <t>DIEL VERTICAL MIGRATION; COPEPOD ACARTIA-CLAUSI; GUT-EVACUATION RATES; PIGMENT DESTRUCTION; PSEUDODIAPTOMUS-HESSEI; PLANKTONIC COPEPODS; TEMPERATE ESTUARY; ANTARCTIC KRILL; CENTROPAGES-HAMATUS; FOOD CONCENTRATION</t>
  </si>
  <si>
    <t>Recent studies in temporarily open estuaries of South Africa have shown that phytoplankton biomass is at times low, when compared to the high standing stock of the grazers. In situ grazing rates of the dominant zooplankton species were estimated at the Mpenjati Estuary once during the winter closed phase, in August 1999, and once during the summer open phase, in February 2000. The study aimed at determining what proportion of the energetic demands of the dominant grazers of the estuary is met by the available phytoplankton. Results show that the gut of all species exhibited higher pigment concentrations during the night than during the day, both in winter and summer. Gut pigment contents ranged from 0.27 to 5.38 ng pigm individual(-1) in the mysid Gastrosaccus brevifissura, from 0.16 to 1.63 ng pigm individual(-1) in the copepod Pseudodiaptomus hessei, from 0.12 to 0.45 ng pigm individual(-1) in the copepod Acartia natalensis, and from 0.8 to 5.44 ng pigm individual(-1) in the caridean Palaemon sp. [where pigm is the sum of chlorophyll-a (chl-a) and phaeopigments]. During the winter closed phase, gut evacuation rates for G. brevifissura P. hessei, and A. natalensis were 0.62, 0.42, and 0.46 h(-1), respectively. In summer, gut evacuation rates were 0.68, 0.48, and 0.46 h(-1) for G. brevifissura, P. hessei, and Palaemon sp., respectively. The rate of gut pigment destruction for G. brevifissura was 99.6% of the total ingested, one of the highest values ever recorded for any crustacean. A gut pigment destruction of 79.0% was measured for Palaemon sp., 95.7% for P. hessei, and 93.8% for A. natalensis. During winter the total grazing impact of the dominant zooplankton species ranged from 5.05 to 22.7 mg chl-a m(-2) day(-1) and accounted for 34-69% of the available chl-a in the water column. During summer, the grazing impact ranged between 0.45 and 0.65 mg chl-a m(-2) day(-1), accounting for 17-41 % of the available chl-a in the water column. This shows that the dominant zooplankton species of the Mpenjati have a very high grazing impact on algal cells. At times this may exceed 100% of the available phytoplankton production, suggesting that the zooplankton community may often resort to other food sources to meet all its energetic demands.</t>
  </si>
  <si>
    <t>Univ KwaZulu Natal, Sch Life &amp; Environm Sci, ZA-4041 Durban, South Africa</t>
  </si>
  <si>
    <t>University of Kwazulu Natal</t>
  </si>
  <si>
    <t>Perissinotto, R (corresponding author), Univ KwaZulu Natal, Sch Life &amp; Environm Sci, G Campbell Bldg, ZA-4041 Durban, South Africa.</t>
  </si>
  <si>
    <t>Perissinottor@nu.ac.za</t>
  </si>
  <si>
    <t>Kibirige, Israel/GMW-7306-2022</t>
  </si>
  <si>
    <t>Kibirige, Israel/0000-0002-6908-2361</t>
  </si>
  <si>
    <t>10.1007/s00227-002-0963-x</t>
  </si>
  <si>
    <t>655CY</t>
  </si>
  <si>
    <t>WOS:000181534800018</t>
  </si>
  <si>
    <t>Lewis, PN; Hewitt, CL; Riddle, M; McMinn, A</t>
  </si>
  <si>
    <t>Marine introductions in the Southern Ocean: an unrecognised hazard to biodiversity</t>
  </si>
  <si>
    <t>high latitude; marine introduction; subantarctic; antarctic; ballast water; hull fouling</t>
  </si>
  <si>
    <t>BALLAST WATER; DARK SURVIVAL; INVASION; TRANSPORT; BIOGEOGRAPHY; TEMPERATURE; ORGANISMS; DISPERSAL; PATTERN; DIATOM</t>
  </si>
  <si>
    <t>This study investigated the potential for transport of organisms between Hobart, Macquarie Island and the Antarctic continent by ships used in support of Antarctic science and tourism. Northward transport of plankton in ballast water is more likely than southward transport because ballast is normally loaded in the Antarctic and unloaded at the home port. Culturing of ballast water samples revealed that high-latitude hitchhikers were able to reach greater diversities when cultured at temperate thermal conditions than at typical Southern Ocean temperatures, suggesting the potential for establishment in the Tasmanian coastal environment. Several known invasive species were identified among fouling communities on the hulls of vessels that travel between Hobart and the Southern Ocean. Southward transport of hull fouling species is more likely than northward transport due to the accumulation of assemblages during the winter period spent in the home port of Hobart. This study does not prove that non-indigenous marine species have, or will be, transported and established as a consequence of Antarctic shipping but illustrates that the potential exists. Awareness of the potential risk and simple changes to operating procedures may reduce the chance of introductions in the future. (C) 2002 Elsevier Science Ltd. All rights reserved.</t>
  </si>
  <si>
    <t>Univ Tasmania, Inst Antarctic &amp; So Ocean Studies, Hobart, Tas 7001, Australia; CSIRO Marine Res, Ctr Res Introduced Marine Pests, Wembly, WA 6913, Australia; Australian Antarctic Div, Kingston, Tas 7050, Australia</t>
  </si>
  <si>
    <t>University of Tasmania; Commonwealth Scientific &amp; Industrial Research Organisation (CSIRO); Australian Antarctic Division</t>
  </si>
  <si>
    <t>Univ Tasmania, Inst Antarctic &amp; So Ocean Studies, GPO Box 252-77, Hobart, Tas 7001, Australia.</t>
  </si>
  <si>
    <t>plewis@utas.edu.au</t>
  </si>
  <si>
    <t>Hewitt, Chad L/C-4460-2008; Hewitt, Chad/J-2105-2019; McMinn, Andrew/A-9910-2008</t>
  </si>
  <si>
    <t>Hewitt, Chad L/0000-0002-6859-6512; Hewitt, Chad/0000-0002-6859-6512;</t>
  </si>
  <si>
    <t>PII S0025-326X(02)00364-8</t>
  </si>
  <si>
    <t>10.1016/S0025-326X(02)00364-8</t>
  </si>
  <si>
    <t>649RU</t>
  </si>
  <si>
    <t>WOS:000181222400018</t>
  </si>
  <si>
    <t>Thompson, BW; Riddle, MJ; Stark, JS</t>
  </si>
  <si>
    <t>Cost-efficient methods for marine pollution monitoring at Casey Station, East Antarctica: the choice of sieve mesh-size and taxonomic resolution</t>
  </si>
  <si>
    <t>cost-efficient; pollution monitoring; benthos; Antarctica; sieve mesh-size; taxonomic resolution</t>
  </si>
  <si>
    <t>SOUTHERN CALIFORNIA BIGHT; BENTHOS SAMPLING PROGRAMS; MACROBENTHIC COMMUNITY; LEVEL SUFFICIENT; PUGET-SOUND; MACROFAUNA; IMPACTS; WASHINGTON; ABUNDANCE; PRECISION</t>
  </si>
  <si>
    <t>Contaminants from sewage discharge and abandoned waste tips enter the marine environment adjacent to Australia's Casey Station, East Antarctica. To establish cost-efficient methods for benthic pollution monitoring the effects of sieve mesh-size (0.5 and 1.0 mm) and taxonomic aggregation (family, order and class) on the description of infaunal assemblages were determined. The abundance and taxonomy of fauna retained on a 0.5 mm sieve after passing through a 1.0 mm sieve were examined in this study. The 1.0 mm sieve fraction [Human impacts and assemblages in marine soft-sediments at Casey Station, Antarctica, Ph.D. thesis, University of New England, 2001] contained 70% of individuals and 94% of taxa when compared to combined abundances on the 1.0 and 0.5 mm sieves. Furthermore, the addition of 0.5 nun data did not increase sampling precision or the statistical power to detect differences between locations. Differences between locations were detected when species were aggregated to the family level however, further aggregation to order and class levels altered the perceived pattern of differences. Marine pollution monitoring of the soft-bottom benthos at Casey Station is most cost-effective when using a 1.0 mm sieve and identifying fauna to the family level. This is the first reported comparison of sampling techniques using Antarctic. benthos. Crown Copyright (C) 2002 Published by Elsevier Science Ltd. All rights reserved.</t>
  </si>
  <si>
    <t>Australian Antarctic Div, Kingston, Tas 7050, Australia; Univ New S Wales, Sch Biol Sci, Sydney, NSW 2052, Australia</t>
  </si>
  <si>
    <t>Australian Antarctic Division; University of New South Wales Sydney</t>
  </si>
  <si>
    <t>belinda.thompson@aad.gov.au</t>
  </si>
  <si>
    <t>Stark, Jonathan/0000-0002-4268-8072; Thompson, Bruce/0000-0002-5885-0652</t>
  </si>
  <si>
    <t>PII S0025-326X(02)00366-1</t>
  </si>
  <si>
    <t>10.1016/S0025-326X(02)00366-1</t>
  </si>
  <si>
    <t>WOS:000181222400020</t>
  </si>
  <si>
    <t>Chen, WJ; Bonillo, C; Lecointre, G</t>
  </si>
  <si>
    <t>Repeatability of clades as a criterion of reliability: a case study for molecular phylogeny of Acanthomorpha (Teleostei) with larger number of taxa</t>
  </si>
  <si>
    <t>12s mtDNA; 16s mtDNA; 28s rDNA; Acanthomorpha; teleostean phylogeny; rhodopsin; separate analyses; reliability; robustness; taxonomic congruence; Teleostei</t>
  </si>
  <si>
    <t>DNA-SEQUENCE DATA; ROD OPSIN CDNA; MAXIMUM-LIKELIHOOD; SECONDARY-STRUCTURE; MITOCHONDRIAL-DNA; NUCLEOTIDE SUBSTITUTIONS; PERCOMORPH PHYLOGENY; SPECIES PHYLOGENIES; EVOLUTIONARY TREES; CONFIDENCE-LIMITS</t>
  </si>
  <si>
    <t>Although much progress has been made recently in teleostean phylogeny, relationships among the main lineages of the higher teleosts (Acanthomorpha), containing more than 60% of all fish species, remain poorly defined. This study represents the most extensive taxonomic sampling effort to date to collect new molecular characters for phylogenetic analysis of acanthomorph fishes. We compiled and analyzed three independent data sets, including: (i) mitochondrial ribosomal fragments from 12S and 16s (814 bp for 97 taxa); (ii) nuclear ribosomal 28S sequences (847 bp for 74 taxa); and (iii) a nuclear protein-coding gene, rhodopsin (759 bp for 86 taxa). Detailed analyses were conducted on each data set separately and the principle of taxonomic congruence without consensus trees was used to assess confidence in the results as follows. Repeatability of clades from separate analyses was considered the primary criterion to establish reliability, rather than bootstrap proportions from a single combined (total evidence) data matrix. The new and reliable clades emerging from this study of the acanthomorph radiation were: Gadiformes (cods) with Zeioids (dories); Beloniformes (needlefishes) with Atheriniformes (silversides); blenioids (blennies) with Gobiesocoidei (clingfishes); Channoidei (snakeheads) with Anabantoidei (climbing gouramies); Mastacembeloidei (spiny eels) with Synbranchioidei (swamp-eels); the last two pairs of taxa grouping together, Syngnathoidei (aulostomids, macroramphosids) with Dactylopteridae (flying gurnards); Scombroidei (mackerels) plus Stromatoidei plus Chiasmodontidae; Ammodytidae (sand lances) with Cheimarrhichthyidae (torrentfish); Zoarcoidei (eelpouts) with Cottoidei; Percidae (perches) with Notothenioidei (Antarctic fishes); and a clade grouping Carangidae (jacks), Echeneidae (remoras), Sphyraenidae (barracudas), Menidae (moonfish), Polynemidae (threadfins), Centropomidae (snooks), and Pleuronectiformes (flatfishes). (C) 2002 Elsevier Science (USA). All rights reserved.</t>
  </si>
  <si>
    <t>wchen@biocomp.unl.edu; lecointr@mnhn.fr</t>
  </si>
  <si>
    <t>CHEN, Wei-Jen/A-2605-2008</t>
  </si>
  <si>
    <t>CHEN, Wei-Jen/0000-0003-4751-7632</t>
  </si>
  <si>
    <t>PII S1055-7903(02)00371-8</t>
  </si>
  <si>
    <t>10.1016/S1055-7903(02)00371-8</t>
  </si>
  <si>
    <t>645YG</t>
  </si>
  <si>
    <t>WOS:000181007600009</t>
  </si>
  <si>
    <t>Simmonds, I; Keay, K; Lim, EP</t>
  </si>
  <si>
    <t>Synoptic activity in the seas around Antarctica</t>
  </si>
  <si>
    <t>EXTRATROPICAL CYCLONE BEHAVIOR; SOUTHERN-HEMISPHERE; TEMPORAL VARIABILITY; NORTHERN-HEMISPHERE; CLIMATOLOGY; CIRCULATION; REANALYSIS; PENINSULA; PRECIPITATION; ACCUMULATION</t>
  </si>
  <si>
    <t>The recent NCEP-Department of Energy (DOE) Reanalysis-2 update of the original NCEP-NCAR dataset provides what is arguably the highest quality analyses spanning two decades available for the high southern latitudes. It therefore offers an excellent starting point from which to assemble a modern, comprehensive, and reliable picture of synoptic activity in the subantarctic region. This set, covering the modern satellite'' era from January 1979 to February 2000, is used herein. In addition, the exploration in this study has been conducted with sophisticated feature-tracking and trajectory analysis software. It is shown that the high southern latitude cyclone system density is greatest in the Indian Ocean and to the south of Australia near, or to the south of, 60degreesS. The numbers in winter exceed those in summer, except over a few, but important, regions such as the Bellingshausen Sea. The Antarctic coastal region is confirmed as one of high cyclonicity, as is that in the northern part of the Antarctic Peninsula and over and to the north of Drake Passage. Cyclolysis is much more confined to the near-coastal region. The mean intensity, radius, and depth of subantarctic cyclones assume their largest values near 60degreesS. It is shown that the rate of change of cyclone central pressure is not a particularly useful gauge of intensification in the Southern Hemisphere, where large spatial variations of climatological pressure are found. When appropriate adjustments are made, it is found that the corrected'' central pressure of cyclones is seen to increase along the track for most systems found south of 45degreesS. The paper also documents the range of starting points of 4-day 500-hPa trajectories that reach points on the Antarctic coast. The broad frequency distribution reflects the very energetic nature of synoptic activity in the region. The counts of cyclones in the 21 yr of NCEP-DOE analyses show negative trends over most of the subantarctic region. At the same time, however, the annual mean cyclone intensity, radius, and depth all exhibit increases. Finally, the frequency of occurrence of rapidly developing cyclones (or bombs'') in the subantarctic environment is determined, and it is found that they are not uncommon features. Their number shows a maximum in winter but, unlike the Northern Hemisphere situation, many are also found in summer.</t>
  </si>
  <si>
    <t>Univ Melbourne, Sch Earth Sci, Parkville, Vic 3010, Australia</t>
  </si>
  <si>
    <t>Univ Melbourne, Sch Earth Sci, Parkville, Vic 3010, Australia.</t>
  </si>
  <si>
    <t>simmonds@unimelb.edu.au</t>
  </si>
  <si>
    <t>Simmonds, Ian/0000-0002-4479-3255; Lim, Eun-Pa/0000-0001-8273-5358</t>
  </si>
  <si>
    <t>10.1175/1520-0493(2003)131&lt;0272:SAITSA&gt;2.0.CO;2</t>
  </si>
  <si>
    <t>636RR</t>
  </si>
  <si>
    <t>WOS:000180471000002</t>
  </si>
  <si>
    <t>Carrasco, JF; Bromwich, DH; Monaghan, AJ</t>
  </si>
  <si>
    <t>Distribution and characteristics of mesoscale cyclones in the Antarctic: Ross Sea eastward to the Weddell Sea</t>
  </si>
  <si>
    <t>SOUTHERN-HEMISPHERE WINTER; ICE SHELF; SYNOPTIC CLIMATOLOGY; KATABATIC WINDS; SCALE ENVIRONMENT; CYCLOGENESIS; MESOCYCLONES; SIMULATION; PENINSULA; VORTICES</t>
  </si>
  <si>
    <t>The mesoscale cyclone activity observed in the portion of Antarctica that faces the South Pacific Ocean and Weddell Sea area is summarized from a study of 1991. In general, area-normalized results reveal much greater mesoscale cyclonic activity over the Ross Sea/Ross Ice Shelf and southern Marie Byrd Land than on both sides of the Antarctic Peninsula. More than 50% of the observed mesoscale vortices are of the comma cloud type. The average diameter of mesoscale vortices is approximately 200 km near Terra Nova Bay, 270 km near Byrd Glacier, and 280 km near Siple Coast. Near the Antarctic Peninsula, the average diameter is about 370 km over the Bellingshausen Sea and 380 km on the Weddell Sea side. The largest percentage of deep vortices occurs over the Bellingshausen Sea sector (38% of all cases), where convective instability frequently occurs. Over the Ross Sea/Ross Ice Shelf and Weddell Sea sectors the majority of the mesoscale vortices are low cloud features that probably do not exceed the 700-hPa level due to the prevailing lower-atmospheric stability. The areas identified as sources of mesoscale vortices concur with the locations of enhanced katabatic winds. A synthesis of the available literature leads to some general characteristics of mesoscale cyclone formation and development. Mesoscale cyclogenesis is associated with areas of warm and/or cold air advection, low-level baroclinicity, and cyclonic vorticity resulting from the stretching mechanism. Subsequent intensification depends on the presence of upper-level support. Spatial and temporal variability in mesoscale cyclone formation is often related to the behavior of synoptic-scale cyclone tracks. Mesoscale cyclones can generate precipitation and severe weather conditions and thus present a critical forecasting challenge.</t>
  </si>
  <si>
    <t>Ohio State Univ, Byrd Polar Res Ctr, Polar Meteorol Grp, Columbus, OH 43210 USA; Ohio State Univ, Dept Geog, Atmospher Sci Program, Columbus, OH 43210 USA; Direcc Meteorol Chile, Santiago, Chile</t>
  </si>
  <si>
    <t>University System of Ohio; Ohio State University; University System of Ohio; Ohio State University</t>
  </si>
  <si>
    <t>Bromwich, DH (corresponding author), Ohio State Univ, Byrd Polar Res Ctr, Polar Meteorol Grp, 1090 Carmack Rd, Columbus, OH 43210 USA.</t>
  </si>
  <si>
    <t>Carrasco, Jorge/AAC-4799-2021; Carrasco, Jorge/ACG-6766-2022; Bromwich, David H/C-9225-2016</t>
  </si>
  <si>
    <t>Carrasco, Jorge/0000-0003-2154-5483; Carrasco, Jorge/0000-0003-2154-5483; Monaghan, Andrew/0000-0002-8170-2359</t>
  </si>
  <si>
    <t>10.1175/1520-0493(2003)131&lt;0289:DACOMC&gt;2.0.CO;2</t>
  </si>
  <si>
    <t>WOS:000180471000003</t>
  </si>
  <si>
    <t>The role of katabatic winds on the Antarctic surface wind regime</t>
  </si>
  <si>
    <t>BOUNDARY-LAYER; ADELIE LAND; REANALYSIS; SUMMER; FLOW</t>
  </si>
  <si>
    <t>Antarctica is known for its strong and persistent surface winds that are directed along topographic pathways. Surface winds are especially strong during the winter period. The high directional constancy of the wind and the close relationship of the wind direction to the underlying terrain can be interpreted as evidence of katabatic wind activity. Observations show that the directional constancy of the Antarctic surface wind displays little seasonal variation. Summertime winds cannot be expected to contain a significant katabatic component, owing to enhanced solar heating of the ice slopes. Observations also show that the coastal environs are subjected to wide variation in atmospheric pressure associated with frequent cyclone activity. The robust unidirectional nature of the Antarctic surface wind throughout the year implies that significant topographic influences other than those from katabatic forcing must be acting. Idealized numerical simulations have been performed to illustrate the potential role of the Antarctic topography in shaping the wind. The presence of katabatic winds is dependent on radiative cooling of the ice slopes. Simulations without explicit longwave radiation show that the blocking influence of the Antarctic orography is a powerful constraint to the surface wind regime. Resulting low-level wind fields resemble katabatic winds, with directions being tied to the underlying terrain and speeds dependent on the slope of the ice surface. A numerical simulation of a strong wind event during austral autumn shows that the katabatic component is only a small fraction of the horizontal pressure gradient force for this case. This suggests that the role of katabatic winds in the Antarctic boundary layer may be overemphasized and that the adjustment process between the continental ice surface and the ambient pressure field may be the primary cause of the Antarctic wind field.</t>
  </si>
  <si>
    <t>10.1175/1520-0493(2003)131&lt;0317:TROKWO&gt;2.0.CO;2</t>
  </si>
  <si>
    <t>WOS:000180471000005</t>
  </si>
  <si>
    <t>Pendlebury, SF; Adams, ND; Hart, TL; Turner, J</t>
  </si>
  <si>
    <t>Numerical weather prediction model performance over high southern latitudes</t>
  </si>
  <si>
    <t>ANTARCTIC LATITUDES; FROST PROJECT; MEDIUM-RANGE; ROSS ISLAND; IMPACT; ASSIMILATION; ATMOSPHERE; REANALYSIS; FORECASTS; INTERIOR</t>
  </si>
  <si>
    <t>Increasingly, output from numerical weather prediction (NWP) models is being used for real-time weather forecasts for the Antarctic and for Antarctic-related climate diagnostics studies. Evidence is presented that indicates that in broad terms, the NWP output from the major global models is providing useful representations of synoptic-scale systems over high southern latitude areas. For example, root-mean-square (rms) errors in the European Centre for Medium-Range Weather Forecasts (ECMWF) model predictions of the 500-hPa height field indicate a day's gain in predictability since the mid-1990s: average rms errors in ECMWF 172 h 500-hPa height field prognoses for the calendar year 2000 were close to 50 m, compared to similar errors in the 148 h prognoses in 1995. Similar relative improvements may be noted for all time steps out to 1144 h. Moreover, it is determined that, of the models considered here, the ECMWF model is clearly the most successful model at 500-hPa-height prediction for high southern latitudes, with the United Kingdom Met Office (UKMO) and National Centers for Environmental Prediction Aviation (AVN) models the next most accurate, and with the Australian Bureau of Meteorology's Global Assimilation Prediction (GASP) and Japanese Meteorological Agency (JMA) models lagging in accuracy. However, improvements in the temporal and spatial resolution of observational data that are available to the analysis and assimilation cycles of the NWP models, and improvements in the horizontal resolutions of the models, are required before the use of NWP output at high southern latitudes is as effective as in more northern areas of the world. Limited area modeling is seen as having potential for complementing the global models by resolving the finer-scale orography and topography of the Antarctic.</t>
  </si>
  <si>
    <t>Bur Meteorol, Reg Forecasting Ctr, Hobart, Tas 7001, Australia; Antarctic Cooperat Res Ctr, Hobart, Tas, Australia; Bur Meteorol, Natl Meteorol &amp; Oceanog Ctr, Melbourne, Vic, Australia; British Antarctic Survey, Div Phys Sci, Cambridge CB3 0ET, England</t>
  </si>
  <si>
    <t>Bureau of Meteorology - Australia; Bureau of Meteorology - Australia; UK Research &amp; Innovation (UKRI); Natural Environment Research Council (NERC); NERC British Antarctic Survey</t>
  </si>
  <si>
    <t>Pendlebury, SF (corresponding author), Bur Meteorol, Reg Forecasting Ctr, GPO Box 727, Hobart, Tas 7001, Australia.</t>
  </si>
  <si>
    <t>10.1175/1520-0493(2003)131&lt;0335:NWPMPO&gt;2.0.CO;2</t>
  </si>
  <si>
    <t>WOS:000180471000006</t>
  </si>
  <si>
    <t>Murphy, BF</t>
  </si>
  <si>
    <t>Prediction of severe synoptic events in coastal east Antarctica</t>
  </si>
  <si>
    <t>ADELIE LAND; KATABATIC WINDS; FROST PROJECT; FLOW; CASEY; JUMPS</t>
  </si>
  <si>
    <t>The coastal region of the Antarctic continent is renowned for the frequent, intense blizzards and associated extreme weather that affect it, creating treacherous conditions that place human activities there in often perilous situations. The understanding and prediction of these events are therefore vital for continued safe operations on the continent. Severe wind events are investigated at two Australian coastal sites, Casey and Mawson. A summer case study at Casey and then the climatology of the events at the two stations are studied using station observations and atmospheric analyses. All events are found to be associated with extratropical cyclones that move close to the stations and lead to strong winds and heavy cloud cover. Most events see the passage of a high pressure ridge over the station ahead of the cyclone that blocks the cyclone, forcing it to move farther south close to the coast, thus intensifying the effect of the cyclone on the coastal weather. The ridge also produces calm, clear conditions that allow a pool of cold air to develop inland over the ice sheet. The approach of the cyclone then disrupts the stability of the surface layer inland, and at Mawson, where the katabatic flow is important, strong downslope flow can then add to the severity of the event. Station observations and reanalyses have then been used to investigate the degree to which precursors can be used to predict station wind speeds. Local conditions do not provide useful information on the development of severe winds 24 h later, but patterns in the large-scale circulation and temperature distributions offer potential for predicting the events. Regression analysis with these precursors is used to predict station wind speeds and is successful for many severe wind events, showing that the large-scale atmospheric forcing is dominant in most cases. However, there are cases where the evolution of the circulation and temperatures are more complicated than the typical events described above, and precursors are not sufficient to predict the onset of severe winds.</t>
  </si>
  <si>
    <t>Univ Reading, Dept Meteorol, Reading, Berks, England</t>
  </si>
  <si>
    <t>University of Reading</t>
  </si>
  <si>
    <t>Murphy, BF (corresponding author), Univ So Queensland, Dept Biol &amp; Phys Sci, Toowoomba, Qld 4350, Australia.</t>
  </si>
  <si>
    <t>10.1175/1520-0493(2003)131&lt;0354:POSSEI&gt;2.0.CO;2</t>
  </si>
  <si>
    <t>WOS:000180471000007</t>
  </si>
  <si>
    <t>Lazzara, MA; Keller, LM; Stearns, CR; Thom, JE; Weidner, GA</t>
  </si>
  <si>
    <t>Antarctic satellite meteorology: Applications for weather forecasting</t>
  </si>
  <si>
    <t>SOUTHERN-HEMISPHERE; FROST PROJECT; KATABATIC WINDS; CLIMATOLOGY; VORTICES; REGION</t>
  </si>
  <si>
    <t>For over 30 years, weather forecasting for the Antarctic continent and adjacent Southern Ocean has relied on weather satellites. Significant advancements in forecasting skill have come via the weather satellite. The advent of the high-resolution picture transmission (HRPT) system in the 1980s and 1990s allowed real-time weather forecasting to become a reality. Small-scale features such as mesocyclones and polar lows could be tracked and larger-scale features such as katabatic winds could be detected using the infrared channel. Currently, HRPT is received at most of the manned Antarctic stations. In the late 1990s the University of Wisconsin composites, which combined all available polar and geostationary satellite imagery, allowed a near-real-time hemispheric view of the Southern Ocean and Antarctic continent. The newest generation of satellites carries improved vertical sounders, special sensors for microwave imaging, and the Moderate Resolution Imaging Spectroradiometer (MODIS) sensor. In spite of the advances in sensors, shortcomings still impede the forecaster. Gaps in satellite data coverage hinder operations at certain times of the day. The development and implementation of software to derive products and visualize information quickly has lagged. The lack of high-performance communications links at many of the manned stations reduces the amount of information that is available to the forecasters. Future applications of weather satellite data for Antarctic forecasting include better retrievals of temperature and moisture and more derived products for fog, cloud detection, and cloud drift winds. Upgrades in technology at Antarctic stations would allow regional numerical prediction models to be run on station and use all the current and future satellite data that may be available.</t>
  </si>
  <si>
    <t>Univ Wisconsin, Ctr Space Sci &amp; Engn, Antarctic Meteorol Res Ctr, Madison, WI 53706 USA</t>
  </si>
  <si>
    <t>University of Wisconsin System; University of Wisconsin Madison</t>
  </si>
  <si>
    <t>Lazzara, MA (corresponding author), Univ Wisconsin, Ctr Space Sci &amp; Engn, Antarctic Meteorol Res Ctr, 1225 W Dayton St, Madison, WI 53706 USA.</t>
  </si>
  <si>
    <t>Lazzara, Matthew/0000-0002-4343-498X</t>
  </si>
  <si>
    <t>10.1175/1520-0493(2003)131&lt;0371:ASMAFW&gt;2.0.CO;2</t>
  </si>
  <si>
    <t>WOS:000180471000008</t>
  </si>
  <si>
    <t>Guo, ZC; Bromwich, DH; Cassano, JJ</t>
  </si>
  <si>
    <t>Evaluation of Polar MM5 simulations of Antarctic atmospheric circulation</t>
  </si>
  <si>
    <t>MESOSCALE CYCLONE ACTIVITY; SURFACE MASS-BALANCE; CLIMATE SYSTEM MODEL; ICE; PARAMETERIZATIONS; VARIABILITY; GREENLAND; TEMPERATURE; PERFORMANCE; VALIDATION</t>
  </si>
  <si>
    <t>Evaluation of a complete annual cycle of nonhydrostatic mesoscale model simulations of the Antarctic atmospheric circulation is presented. The year-long time series are compiled from a series of overlapping short-duration (72 h) simulations of the atmospheric state with the first 24 h being discarded for spinup reasons, and the 24-72-h periods used for model evaluation. The simulations are generated with the fifth-generation Pennsylvania State University-National Center for Atmospheric Research Mesoscale Model (MM5), which is modified for polar applications, and is referred to as the Polar MM5. With a horizontal resolution of 60 km, the Polar MM5 has been run for the period of January 1993-December 1993, creating short-term simulations from initial and boundary conditions provided by the European Centre for Medium-Range Weather Forecasts (ECMWF) Tropical Ocean Global Atmosphere (TOGA) operational analyses. The model output is compared with observations from automatic weather stations, upper-air data, and global atmospheric analyses as well as climatological maps over timescales from diurnal to annual. In comparison with the observations, the evaluation shows that simulations with the Polar MM5 capture both the large- and regional-scale circulation features with generally small bias in the modeled variables. For example, the differences between the observations and simulations at the 500-hPa level are usually less than 2degreesC for temperature and dewpoint temperature, and 20 m for geopotential height. On the annual timescale the largest errors in the model simulations are the deficient total cloud cover and precipitation, and the colder near-surface temperature over the interior of the Antarctic plateau. The deficiencies in the cloud prediction and precipitation simulation follow from low-level dry biases found in the Polar MM5 simulations, and the cold bias is related to the low predicted downward longwave radiation under clear skies in the radiation parameterization scheme. The deficient predicted precipitation also reflects the limited ability of Polar MM5 to represent clear sky precipitation. On the seasonal timescale a persistent positive pressure bias is found in the model simulations, caused by the interaction between the gravity waves and the model upper boundary condition. The observed synoptic variability of the pressure, temperature, wind speed, wind direction, and water vapor mixing ratio, as well as the diurnal cycles of temperature, wind speed, and mixing ratio, are reproduced by the Polar MM5 with reasonable accuracy.</t>
  </si>
  <si>
    <t>Ohio State Univ, Byrd Polar Res Ctr, Polar Meteorol Grp, Columbus, OH 43210 USA; Ohio State Univ, Dept Geog, Atmospher Sci Program, Columbus, OH 43210 USA</t>
  </si>
  <si>
    <t>bromwich@polarmet1.mps.ohio-state.edu</t>
  </si>
  <si>
    <t>Bromwich, David H/C-9225-2016; Cassano, John/HKW-8817-2023</t>
  </si>
  <si>
    <t>10.1175/1520-0493(2003)131&lt;0384:EOPMSO&gt;2.0.CO;2</t>
  </si>
  <si>
    <t>WOS:000180471000009</t>
  </si>
  <si>
    <t>Bromwich, DH; Monaghan, AJ; Powers, JG; Cassano, JJ; Wei, HL; Kuo, YH; Pellegrini, A</t>
  </si>
  <si>
    <t>Antarctic Mesoscale Prediction System (AMPS): A case study from the 2000-01 field season</t>
  </si>
  <si>
    <t>ROSS ISLAND; WINDS; FLOW</t>
  </si>
  <si>
    <t>To support the forecasting needs of the United States Antarctic Program at McMurdo, Antarctica, a special numerical weather prediction program, the Antarctic Mesoscale Prediction System (AMPS), was established for the 2000-01 field season. AMPS employs the Polar MM5, a version of the fifth-generation Pennsylvania State University-NCAR Mesoscale Model (MM5) that has physics modifications for polar environments. This study assesses the performance of AMPS in forecasting an event of mesoscale cyclogenesis in the western Ross Sea during 13-17 January 2001. Observations indicate the presence of a complex trough having two primary mesoscale lows that merge to the east of Ross Island shortly after 0700 UTC 15 January. In contrast, AMPS predicts one primary mesoscale low throughout the event, incorrectly placing it until the 1800 UTC 15 January forecast, when the observed system carries a prominent signature in the initialization. The model reproduces the evolution of upper-level conditions in agreement with the observations and shows skill in resolving many small-scale surface features common to the region (i.e., katabatic winds; lows and highs induced by wind/topography). The AMPS forecasts can rely heavily on the representation of surface lows and upper-level forcing in the first-guess fields derived from NCEP's Aviation Model (AVN). Furthermore, even with relatively high spatial resolution, mesoscale models face observation-related limitations on performance that can be particularly acute in Antarctica.</t>
  </si>
  <si>
    <t>Ohio State Univ, Byrd Polar Res Ctr, Polar Meteorol Grp, Columbus, OH 43210 USA; Ohio State Univ, Dept Geog, Atmospher Sci Program, Columbus, OH 43210 USA; Natl Ctr Atmospher Res, Mesoscale &amp; Microscale Meteorol Div, Boulder, CO 80307 USA; ENEA Antarctic Project, Rome, Italy</t>
  </si>
  <si>
    <t>University System of Ohio; Ohio State University; University System of Ohio; Ohio State University; National Center Atmospheric Research (NCAR) - USA</t>
  </si>
  <si>
    <t>Bromwich, David H/C-9225-2016; Cassano, John/HKW-8817-2023; Pellegrini, Andrea/O-3094-2015</t>
  </si>
  <si>
    <t>Pellegrini, Andrea/0000-0001-5577-7472; Monaghan, Andrew/0000-0002-8170-2359</t>
  </si>
  <si>
    <t>10.1175/1520-0493(2003)131&lt;0412:AMPSAA&gt;2.0.CO;2</t>
  </si>
  <si>
    <t>WOS:000180471000010</t>
  </si>
  <si>
    <t>Seefeldt, MW; Tripoli, GJ; Stearns, CR</t>
  </si>
  <si>
    <t>A high-resolution numerical simulation of the wind flow in the Ross Island region, Antarctica</t>
  </si>
  <si>
    <t>STRONGLY STRATIFIED FLOW; MOUNTAINS</t>
  </si>
  <si>
    <t>A detailed description of the characteristics of the three-dimensional wind flow for the Ross Island region of Antarctica is presented. This region of Antarctica has complex topographic features, and the wind flow is dependent on the topography and the local meteorological conditions. High-resolution nonhydrostatic numerical simulations are conducted over a high-resolution domain in the Ross Island region. Two simulations are performed corresponding to the two dominant wind flow patterns in the Ross Island region. The first simulation is a light wind case with a stable lower atmosphere and the second is a high wind speed event. Froude number calculations, along with a study of the equation of motion, are included for a more complete understanding of the dynamics of the wind flow. The results of the simulations show a favorable correlation to past research results and observations, and provide a more complete understanding of the three-dimensional wind flow in the region. In addition to a more thorough understanding of the wind flow, the results indicate the usefulness and future applicability of nonhydrostatic simulations to understanding the unique meteorological conditions and features in the Antarctic.</t>
  </si>
  <si>
    <t>Univ Wisconsin, Dept Atmospher &amp; Ocean Sci, Madison, WI USA</t>
  </si>
  <si>
    <t>Seefeldt, MW (corresponding author), 2150 W River St, Monticello, MN 55362 USA.</t>
  </si>
  <si>
    <t>Seefeldt, Mark W/D-3121-2011</t>
  </si>
  <si>
    <t>Seefeldt, Mark W/0000-0003-0719-2570</t>
  </si>
  <si>
    <t>10.1175/1520-0493(2003)131&lt;0435:AHRNSO&gt;2.0.CO;2</t>
  </si>
  <si>
    <t>WOS:000180471000011</t>
  </si>
  <si>
    <t>McInnes, SJ</t>
  </si>
  <si>
    <t>A predatory fungus (Hyphomycetes:Lecophagus) attacking Rotifera and Tardigrada in maritime Antarctic lakes</t>
  </si>
  <si>
    <t>NEMATOPHAGOUS FUNGI; CEPHALIOPHORA</t>
  </si>
  <si>
    <t>Lecophagus antarcticus, described as a new species of predaceous Hyphomycete of rotifers and tardigrades, was collected from cyanobacterial mats and sediments at shallow lake margins on Signy Island, South Orkney Islands, Antarctica. The new species differs from similar Lecophagus species by larger, more robust vegetative hyphae and by producing septate conidiophore branches or conidiophores as terminals of lateral vegetative hyphae. This is the first report of this genus from either freshwater or polar regions.</t>
  </si>
  <si>
    <t>McInnes, SJ (corresponding author), British Antarctic Survey, NERC, High Cross,Madingley Rd, Cambridge CB3 0ET, England.</t>
  </si>
  <si>
    <t>McInnes, Sandra/AAN-4773-2020</t>
  </si>
  <si>
    <t>McInnes, Sandra/0000-0003-3403-9379</t>
  </si>
  <si>
    <t>10.1007/s00300-002-0449-9</t>
  </si>
  <si>
    <t>652JF</t>
  </si>
  <si>
    <t>WOS:000181375500002</t>
  </si>
  <si>
    <t>Jacob, U; Terpstra, S; Brey, T</t>
  </si>
  <si>
    <t>High-Antarctic regular sea urchins - the role of depth and feeding in niche separation</t>
  </si>
  <si>
    <t>WEDDELL SEA; ECHINODERMATA; ECHINOIDEA; SHELF; SLOPE; BIOMASS</t>
  </si>
  <si>
    <t>Regular sea urchins of the families Cidaridae and Echinidae are widespread and sympatrically occurring epibenthic species in Antarctic waters. Food preference and water depth distribution of the five most abundant species (Ctenocidaris gigantea, C. spinosa, Notocidaris mortenseni, Sterechinus antarcticus, S. neumayeri) were analysed based on trawl and photograph samples. Both diet and water depth contribute to niche separation among these species. All sea urchins consume bryozoans and sediment, but echinids feed predominantly on diatoms in the fluff, when available. Cidarids do not consume diatoms, most likely owing to morphological constraints; their typical food consists of sponges and hydroids. C. spinosa and S. neumayeri prefer shallow water depths, whereas N. mortenseni and S. antarcticus prefer deeper regions. C. gigantea is the most variable species regarding food composition and living depth.</t>
  </si>
  <si>
    <t>Jacob, U (corresponding author), Alfred Wegener Inst Polar &amp; Marine Res, Postfach 120161, D-27515 Bremerhaven, Germany.</t>
  </si>
  <si>
    <t>Jacob, Ute/F-8179-2011</t>
  </si>
  <si>
    <t>Brey, Thomas/0000-0002-6345-2851</t>
  </si>
  <si>
    <t>10.1007/s00300-002-0453-0</t>
  </si>
  <si>
    <t>WOS:000181375500005</t>
  </si>
  <si>
    <t>Near, TJ; Russo, SE; Jones, CD; DeVries, AL</t>
  </si>
  <si>
    <t>Ontogenetic shift in buoyancy and habitat in the Antarctic toothfish, Dissostichus mawsoni (Perciformes: Nototheniidae)</t>
  </si>
  <si>
    <t>PLEURAGRAMMA-ANTARCTICUM; MCMURDO SOUND; WEDDELL SEA; FISH; PISCES; EVOLUTION; ICE</t>
  </si>
  <si>
    <t>Buoyancy measurements and depth of capture were taken on 70 individuals of Dissostichus mawsoni collected from the Southern Scotia Arc and McMurdo Sound, Antarctica, to examine the effect of age on buoyancy and habitat use. Standard lengths (SL) ranged from 10.4 to 138.0 cm. Juveniles were not buoyant (heavy in water), whereas adults were neutrally buoyant. The slope of the relationship between buoyancy and SL was significantly negative for juveniles (individuals less than 81 cm SL), but there was no significant relationship for adults (individuals greater than 81 cm SL). These results demonstrate an ontogenetic shift in buoyancy. For juveniles, depth of capture and SL had a significantly positive relationship. As individuals reach adulthood they achieve neutral buoyancy and appear to use deeper water habitats. This interpretation is supported by a significant positive correlation between buoyancy and depth of capture for juveniles. Changes in buoyancy with maturation of juveniles may also be associated with a shift in habitat use. Juveniles appear to exploit benthic habitats, whereas adults use the entire water column over deeper water. Given the differences in prey species available in these habitats and based on our results, we predict that diets of juveniles and adults should differ significantly. We also hypothesize that accumulation of lipid deposits from the diet during maturation of juveniles may account for the ontogenetic shift in buoyancy and allow neutral buoyancy to be achieved in adulthood.</t>
  </si>
  <si>
    <t>Univ Calif Davis, Ctr Populat Biol, Davis, CA 95616 USA; Univ Illinois, Program Ecol &amp; Evolutionary Biol, Urbana, IL 61801 USA; SW Fisheries Sci Ctr, US Antarctic Marine Living Resources Program, La Jolla, CA 92038 USA; Univ Illinois, Dept Anim Biol, Urbana, IL 61801 USA</t>
  </si>
  <si>
    <t>University of California System; University of California Davis; University of Illinois System; University of Illinois Urbana-Champaign; National Oceanic Atmospheric Admin (NOAA) - USA; University of Illinois System; University of Illinois Urbana-Champaign</t>
  </si>
  <si>
    <t>Near, Thomas J./0000-0002-7398-6670</t>
  </si>
  <si>
    <t>10.1007/s00300-002-0459-7</t>
  </si>
  <si>
    <t>WOS:000181375500008</t>
  </si>
  <si>
    <t>Avenant, NL; Smith, VR</t>
  </si>
  <si>
    <t>The microenvironment of house mice on Marion Island (sub-Antarctic)</t>
  </si>
  <si>
    <t>MUS-MUSCULUS; CLIMATE-CHANGE; IMPACT; DIET</t>
  </si>
  <si>
    <t>On Marion Island, house mice (Mus musculus) establish burrow systems that range from unbranched corridors 0.5 m long with a single chamber (in some instances without a chamber) to complexly branched systems extending over an area of up to 4 m(2) and containing up to four chambers. Total underground area occupied by burrow systems (chambers plus corridors) was from 5 to 23 m(2) ha(-1), corresponding to burrow-system volumes of 250-1,300 dm(3) ha(-1). In autumn, about three-quarters of chambers contained small food caches. Most (87%) entrances to burrow systems faced away from prevailing winds, especially winds that bring snow, hail or rain. Seasonal and diurnal temperature variations in burrows are considerably dampened (daily minimum in burrows seldom drops, below 2degreesC), compared with the air just above the vegetation canopy. Over the whole year, total night-time warmth in a burrow (heat sum, 24,883 degree hours) was 53% greater than at the top of the canopy (16,317 degree hours). Burrows' entrances are generally connected above ground by runways (paths and tunnels through the vegetation). Runways also represent a warmer environment than the air above the canopy during the breeding season at night (13,466 degree hours at the runway surface compared with 11,900 degree hours at the top of the canopy). House mice, which are living close to their physiological limits, temperature-wise, on Marion Island thus evade the worst extremes of the island's climate by constructing burrows and above-ground runways and this is an important factor in their survival.</t>
  </si>
  <si>
    <t>Natl Museum, Dept Mammal, ZA-9300 Bloemfontein, South Africa; Univ Stellenbosch, Dept Bot, ZA-7602 Matieland, South Africa</t>
  </si>
  <si>
    <t>Avenant, NL (corresponding author), Natl Museum, Dept Mammal, POB 266, ZA-9300 Bloemfontein, South Africa.</t>
  </si>
  <si>
    <t>Avenant, Nico/0000-0002-5390-9010</t>
  </si>
  <si>
    <t>10.1007/s00300-002-0464-x</t>
  </si>
  <si>
    <t>WOS:000181375500009</t>
  </si>
  <si>
    <t>Sumner, MD; Michael, KJ; Bradshaw, CJA; Hindell, MA</t>
  </si>
  <si>
    <t>Remote sensing of Southern Ocean sea surface temperature: implications for marine biophysical models</t>
  </si>
  <si>
    <t>REMOTE SENSING OF ENVIRONMENT</t>
  </si>
  <si>
    <t>ANTARCTIC POLAR FRONT; HIGH-RESOLUTION RADIOMETER; CROSS-SPECTRUM ANALYSIS; ELEPHANT SEALS; PIGMENT CONCENTRATIONS; FORAGING BEHAVIOR; THERMAL STRUCTURE; CIRCUMPOLAR WAVE; MIROUNGA-LEONINA; KING PENGUINS</t>
  </si>
  <si>
    <t>Nineteen years of Advanced Very High Resolution Radiometer Multi-Channel Sea Surface Temperature (AVERR MCSST) data were used to calculate monthly averages of sea surface temperatures (SSTs) for a large region of the Southern Ocean centred on Macquarie Island. Between October and February, the MCSST data were a reliable source of SSTs north of 60degreesS, but their quality (i.e. spatial and temporal density) was degraded severely at higher latitudes. Between April and August, the interpolated MCSST data were found to be unreliable in the study area, even at latitudes as low as 45degreesS. A specific problem has been identified to the west of Tasmania in the winter interpolated climatology which is likely an artefact of interpolation of sparse data. The poor coverage of valid MCSSTs during this time limits the data's application for many uses. Although the limitations of the MCSST data set are well recognised, the possibilities for ecological applications of these data remain largely unexplored and unquantified. The potential exists to maximize the information available from this and other similar data sets by determining the appropriate spatial and temporal scales at which they are best applied to biophysical models. (C) 2002 Elsevier Science Inc. All rights reserved.</t>
  </si>
  <si>
    <t>Univ Tasmania, Antarct CRC, Hobart, Tas 7001, Australia; Univ Tasmania, Inst Antarctic &amp; So Ocean Studies, Hobart, Tas 7001, Australia; Univ Tasmania, Sch Zool, Antarct Wildlife Res Unit, Hobart, Tas 7001, Australia</t>
  </si>
  <si>
    <t>University of Tasmania; University of Tasmania; University of Tasmania</t>
  </si>
  <si>
    <t>Univ Tasmania, Antarct CRC, GPO Box 252-77, Hobart, Tas 7001, Australia.</t>
  </si>
  <si>
    <t>Kelvin.Michael@utas.edu.au</t>
  </si>
  <si>
    <t>Sumner, Michael D/J-3478-2013; Hindell, Mark A/K-1131-2013; Hindell, Mark A/C-8368-2013; Bradshaw, Corey J. A./A-1311-2008; Michael, Kelvin/J-7217-2014</t>
  </si>
  <si>
    <t>0034-4257</t>
  </si>
  <si>
    <t>1879-0704</t>
  </si>
  <si>
    <t>REMOTE SENS ENVIRON</t>
  </si>
  <si>
    <t>Remote Sens. Environ.</t>
  </si>
  <si>
    <t>PII S0034-4257(02)00103-7</t>
  </si>
  <si>
    <t>10.1016/S0034-4257(02)00103-7</t>
  </si>
  <si>
    <t>Environmental Sciences; Remote Sensing; Imaging Science &amp; Photographic Technology</t>
  </si>
  <si>
    <t>Environmental Sciences &amp; Ecology; Remote Sensing; Imaging Science &amp; Photographic Technology</t>
  </si>
  <si>
    <t>673RA</t>
  </si>
  <si>
    <t>WOS:000182592900001</t>
  </si>
  <si>
    <t>Kang, SX; Shen, XS; Huang, YY; Ju, X; Wu, ZQ</t>
  </si>
  <si>
    <t>SR-XRF analysis of characteristics of heavy element concentration in Qingdao algae and application to monitoring oceanic pollution</t>
  </si>
  <si>
    <t>SPECTROSCOPY AND SPECTRAL ANALYSIS</t>
  </si>
  <si>
    <t>Chinese</t>
  </si>
  <si>
    <t>algae; heavy element; SR-XRF; pollution</t>
  </si>
  <si>
    <t>Quantative and qualitative analysises of the heavy element concentration characteristics of 14 specimens of 9 kinds of Qingdao algae by synchrotron radiation X-ray fluorescence (SR-XRF) are presented. Results show that various algae are quite different in element concentration. Some algae reveal super concentration ability, such as Sargassum pallidum for A. and Sr, Symphyocladia latiuscula for Br and Laminaria japonica for I. Changes in the ratio of peak intensities of Mn and Fe in XRF spectrum reflect on the antagonism between elements in algae, relatively to the environment pollution. The minimum detection limit (MDL) of standard specimen, Antarctic mosses, was measured. Quantitative analysis and comparison of 10 specimens of 5 kind algae gathered from the same zone of Qingdao near-sea in 1985 and in 1999 were done, The contents of Mn, Fe, Zn, As, Br and Pb increased in 1999, in which, As in Sargassum pallidum increased 155% and Pb in Codium fragil increased 120%. The results indicated that the pollution in the near-sea of Qingdao is currently tending toward severity.</t>
  </si>
  <si>
    <t>Univ Sci &amp; Technol China, Dept Astron &amp; Appl Phys, Hefei 230026, Peoples R China; Univ Sci &amp; Technol China, Acad Life Sci, Hefei 230026, Peoples R China; CAS, Inst High Energy Phys, Beijing 100039, Peoples R China</t>
  </si>
  <si>
    <t>Chinese Academy of Sciences; University of Science &amp; Technology of China, CAS; Chinese Academy of Sciences; University of Science &amp; Technology of China, CAS; Chinese Academy of Sciences; Institute of High Energy Physics, CAS</t>
  </si>
  <si>
    <t>Kang, SX (corresponding author), Univ Sci &amp; Technol China, Dept Astron &amp; Appl Phys, Hefei 230026, Peoples R China.</t>
  </si>
  <si>
    <t>Huang, Yu/KDM-9182-2024</t>
  </si>
  <si>
    <t>BEIJING UNIV PRESS</t>
  </si>
  <si>
    <t>HAIDIAN-QU, BEIJING 100871, PEOPLES R CHINA</t>
  </si>
  <si>
    <t>1000-0593</t>
  </si>
  <si>
    <t>SPECTROSC SPECT ANAL</t>
  </si>
  <si>
    <t>Spectrosc. Spectr. Anal.</t>
  </si>
  <si>
    <t>656AP</t>
  </si>
  <si>
    <t>WOS:000181586700028</t>
  </si>
  <si>
    <t>Bopp, L; Aumont, O; Belviso, S; Monfray, P</t>
  </si>
  <si>
    <t>Potential impact of climate change on marine dimethyl sulfide emissions</t>
  </si>
  <si>
    <t>ANTARCTIC SOUTHERN-OCEAN; PHYTOPLANKTON BLOOM; INDIAN-OCEAN; ATLANTIC; SULFUR; MODEL; FLUX; CIRCULATION; VARIABILITY; SEAWATER</t>
  </si>
  <si>
    <t>Dimethyl sulfide (DMS) is a biogenic compound produced in sea-surface water and outgased to the atmosphere. Once in the atmosphere, DMS is a significant source of cloud condensation nuclei in the unpolluted marine atmosphere. It has been postulated that climate may be partly modulated by variations in DMS production through a DMS-cloud condensation nuclei-albedo feedback. We present here a modelled estimation of the reponse of DMS sea-water concentrations and DMS fluxes to climate change, following previous work on marine DMS modeling (Aumont et al.. 2002) and on the global warming impact on marine biology (Bopp et al.. 2001). An atmosphere-ocean general circulation model (GCM) was coupled to a marine biogeochemical scheme and used without flux correction to simulate climate response to increased greenhouse gases (a 1% increase per year in atmospheric CO2 until it has doubled). The predicted global distribution of DMS at I x CO2 compares reasonably well with observations: however, in the high latitudes, very elevated concentrations of DMS due to spring and summer bloom, of Phaeocystis can not be reproduced. At 2 x CO2. the model estimates a small increase of global DMS flux to the atmosphere (+2%,) but with large spatial heterogeneities (from -15% to +30% for the zonal mean). Mechanisms affecting DMS fluxes are changes in ( I) marine biological productivity. (2) relative abundance of phytoplankton species and (3) wind intensity. The mean DMS flux perturbation we simulate represents a small negative feedback on global warming however, the large regional changes may significantly impact regional temperature and precipitation pattern.</t>
  </si>
  <si>
    <t>CE Saclay, Lab Sci Climat &amp; Environm, F-91191 Gif Sur Yvette, France; Univ Paris 06, Lab Oceanog &amp; Dynam Climat, F-75252 Paris, France</t>
  </si>
  <si>
    <t>Universite Paris Saclay; CEA; Centre National de la Recherche Scientifique (CNRS); Sorbonne Universite</t>
  </si>
  <si>
    <t>Bopp, L (corresponding author), CE Saclay, Lab Sci Climat &amp; Environm, F-91191 Gif Sur Yvette, France.</t>
  </si>
  <si>
    <t>bopp, laurent/ABF-5302-2020; Aumont, Olivier/G-5207-2016; MONFRAY, Patrick/AAB-8665-2020</t>
  </si>
  <si>
    <t>bopp, laurent/0000-0003-4732-4953; Aumont, Olivier/0000-0003-3954-506X; MONFRAY, Patrick/0000-0002-3028-5591</t>
  </si>
  <si>
    <t>10.1034/j.1600-0889.2003.042.x</t>
  </si>
  <si>
    <t>651UP</t>
  </si>
  <si>
    <t>WOS:000181340700002</t>
  </si>
  <si>
    <t>Delmas, RJ; Wagnon, P; Goto-Azuma, K; Kamiyama, K; Watanabe, O</t>
  </si>
  <si>
    <t>Evidence for the loss of snow-deposited MSA to the interstitial gaseous phase in central Antarctic firn</t>
  </si>
  <si>
    <t>SEA-SALT SULFATE; VOSTOK ICE CORE; METHANESULFONIC-ACID; METHANE SULFONATE; DIMETHYL SULFIDE; SULFUR; MIGRATION; CLIMATE; EMISSIONS; CHEMISTRY</t>
  </si>
  <si>
    <t>We have examined several MSA (methanesulfonic acid) records from the upper 200 m of the Antarctic ice street and in particular the new Dome F profile. At all the four sites studied, concentration profiles exhibit similar patterns as a function of depth. They suggest that snow metamorphism and solid phase migration are responsible for a marked release of gaseous MSA to interstitial firm air as kell as probably to the free atmosphere, in particular at extremely low accumulation sites. Snow acidity can also modify MSA concentration. It is proposed that, belong the upper few metres where the communication with the free atmosphere is possible, gaseous MSA may remain in the firn layers and be entrapped later in air bubbles at pole close-off. i.e. when firn is transformed into ice. Chemical measurements on the firn core do not take into account the MSA released to the gaseous phase. but this fraction is measurable in ice samples. In spite of these alterations occurring in the firn layers, relative charges of the atmospheric MSA concentration in the past are probably still there deep within the Antarctic ice street. However. for glacial periods, different processes have to he considered in relation to modified aerosol properties.</t>
  </si>
  <si>
    <t>CNRS, Lab Glaciol &amp; Geophys Environm, F-38402 St Martin Dheres, France; Natl Inst Polar Res, Itabashi Ku, Tokyo 1738515, Japan</t>
  </si>
  <si>
    <t>Centre National de la Recherche Scientifique (CNRS); Research Organization of Information &amp; Systems (ROIS); National Institute of Polar Research (NIPR) - Japan</t>
  </si>
  <si>
    <t>Delmas, RJ (corresponding author), CNRS, Lab Glaciol &amp; Geophys Environm, BP 96, F-38402 St Martin Dheres, France.</t>
  </si>
  <si>
    <t>10.1034/j.1600-0889.2003.00032.x</t>
  </si>
  <si>
    <t>WOS:000181340700006</t>
  </si>
  <si>
    <t>Whinam, J; Hope, GS; Clarkson, BR; Buxton, RP; Alspach, PA; Adam, P</t>
  </si>
  <si>
    <t>Whinam, J.; Hope, G. S.; Clarkson, B. R.; Buxton, R. P.; Alspach, P. A.; Adam, P.</t>
  </si>
  <si>
    <t>Sphagnum in peatlands of Australasia: Their distribution, utilisation and management</t>
  </si>
  <si>
    <t>WETLANDS ECOLOGY AND MANAGEMENT</t>
  </si>
  <si>
    <t>Australia; moss harvesting; New Guinea; New Zealand; peat industry; peat mining; restoration; sustainability</t>
  </si>
  <si>
    <t>In comparison to the northern hemisphere, Sphagnum peatlands are an unusual and infrequent component of the Australasian landscape. Most peatlands in Australasia are primarily composed of either Restionaceous or Cyperaceous peats. Sphagnum peatlands in Australia and Papua New Guinea/Irian Jaya (now West Papua) are largely located in montane and alpine environments, but also occur down to sea level in New Zealand and as moss patches on some subantarctic islands. Fire is a major determinant of the characteristics of peatlands in Australasia. Peatland management in Australasia is hindered by the need for increased understanding of peatland processes to enable a sustainable balance of conservation of a small resource with localised utilisation. The management focus in Australasia has largely been on ensuring ecologically sustainable Sphagnum moss harvesting, with limited peat mining. We have found that general recovery of Sphagnum after moss harvesting can be enhanced by harvesting larger peatlands, and by leaving one-third of the acrotelm to regenerate. The largest upland peat swamp in mainland Australia, Wingecarribee Swamp, suffered a major collapse in 1998 following peat mining. Environmental and management consequences of this collapse havemajor ramifications for rehabilitation options. Sphagnum peatlands in Australasia are likely to be adversely affected by drainage, burning, grazing, trampling, global warming and peat mining.</t>
  </si>
  <si>
    <t>[Whinam, J.] Dept Primary Ind Water &amp; Environm, GPO Box 44A, Hobart, Tas 7001, Australia; [Hope, G. S.] Australian Natl Univ, Res Sch Pacific &amp; Asian Studies, Canberra, ACT, Australia; [Clarkson, B. R.; Buxton, R. P.] Landcare Res New Zealand Ltd, Lincoln, New Zealand; [Alspach, P. A.] Hort &amp; Food Res Inst New Zealand Ltd, Palmerston North, New Zealand; [Adam, P.] Univ New South Wales, Sch Biol Sci, Sydney, NSW, Australia</t>
  </si>
  <si>
    <t>Australian National University; Landcare Research - New Zealand; New Zealand Institute for Plant &amp; Food Research Ltd; University of New South Wales Sydney</t>
  </si>
  <si>
    <t>Whinam, J (corresponding author), Dept Primary Ind Water &amp; Environm, GPO Box 44A, Hobart, Tas 7001, Australia.</t>
  </si>
  <si>
    <t>Hope, Geoffrey/O-2757-2019</t>
  </si>
  <si>
    <t>Hope, Geoffrey/0000-0001-8366-0677; Clarkson, Beverley/0000-0003-4067-8038</t>
  </si>
  <si>
    <t>NSW National Parks and Wildlife Service; ACT Government</t>
  </si>
  <si>
    <t>Studies in New Zealand were funded by the Department of Conservation and the Public Good Science Fund, and those in Tasmania funded by Environment Australia and supported by the Department of Primary Industries, Water and Environment. Taxonomic assistance was provided by Dr Rod Seppelt, Australian Antarctic Division. Work on mainland Australian mires has been partly funded by grants from NSW National Parks and Wildlife Service and the ACT Government. We thank Dr Robin Clark for making available unpublished reports and Dr Andreas Touw, Leiden Herbarium, for information on tropical moss distributions. We are pleased to acknowledge Dr Pierre Horwitz, Dr Merna McKenzie, Prof Alan Mark, an anonymous referee and especially Dr Janet Wilmshurst, for useful comments on the paper.</t>
  </si>
  <si>
    <t>0923-4861</t>
  </si>
  <si>
    <t>1572-9834</t>
  </si>
  <si>
    <t>WETL ECOL MANAG</t>
  </si>
  <si>
    <t>Wetl. Ecol. Manag.</t>
  </si>
  <si>
    <t>10.1023/A:1022005504855</t>
  </si>
  <si>
    <t>Environmental Sciences; Water Resources</t>
  </si>
  <si>
    <t>Environmental Sciences &amp; Ecology; Water Resources</t>
  </si>
  <si>
    <t>VB0KD</t>
  </si>
  <si>
    <t>WOS:000411977700004</t>
  </si>
  <si>
    <t>Soon, W; Baliunas, S</t>
  </si>
  <si>
    <t>Proxy climatic and environmental changes of the past 1000 years</t>
  </si>
  <si>
    <t>CLIMATE RESEARCH</t>
  </si>
  <si>
    <t>paleoclimate proxies; climate change; environmental change; Little Ice Age; Medieval Warm Period</t>
  </si>
  <si>
    <t>MEDIEVAL WARM PERIOD; NORTH-ATLANTIC OSCILLATION; RING-WIDTH CHRONOLOGY; LAST 2000 YEARS; TREE-RING; ICE-AGE; ANTARCTIC PENINSULA; TEMPERATURE-CHANGES; ISOTOPIC RECORDS; ATMOSPHERIC CO2</t>
  </si>
  <si>
    <t>The 1000 yr climatic and environmental history of the Earth contained in various proxy records is reviewed. As indicators, the proxies duly represent local climate. Because each is of a different nature, the results from the proxy indicators cannot be combined into a hemispheric or global quantitative composite, However, considered as an ensemble of individual expert opinions, the assemblage of local representations of climate establishes both the Little Ice Age and Medieval Warm Period as climatic anomalies with worldwide imprints, extending earlier results by Bryson et al. (1963), Lamb (1965), and numerous intervening research efforts. Furthermore, the individual proxies can be used to address the question of whether the 20th century is the warmest of the 2nd millennium locally. Across the world, many records reveal that the 20th century is probably not the warmest nor a uniquely extreme climatic period of the last millennium.</t>
  </si>
  <si>
    <t>Harvard Smithsonian Ctr Astrophys, Cambridge, MA 02138 USA; Mt Wilson Observ, Mt Wilson, CA 91023 USA</t>
  </si>
  <si>
    <t>Harvard Smithsonian Ctr Astrophys, 60 Garden St,MS 16, Cambridge, MA 02138 USA.</t>
  </si>
  <si>
    <t>wsoon@cfa.harvard.edu</t>
  </si>
  <si>
    <t>INTER-RESEARCH</t>
  </si>
  <si>
    <t>OLDENDORF LUHE</t>
  </si>
  <si>
    <t>NORDBUNTE 23, D-21385 OLDENDORF LUHE, GERMANY</t>
  </si>
  <si>
    <t>0936-577X</t>
  </si>
  <si>
    <t>1616-1572</t>
  </si>
  <si>
    <t>CLIM RES</t>
  </si>
  <si>
    <t>Clim. Res.</t>
  </si>
  <si>
    <t>JAN 31</t>
  </si>
  <si>
    <t>10.3354/cr023089</t>
  </si>
  <si>
    <t>671UD</t>
  </si>
  <si>
    <t>WOS:000182481700001</t>
  </si>
  <si>
    <t>Shin, SI; Liu, ZG; Otto-Bliesner, BL; Kutzbach, JE; Vavrus, SJ</t>
  </si>
  <si>
    <t>Southern Ocean sea-ice control of the glacial North Atlantic thermohaline circulation</t>
  </si>
  <si>
    <t>MAXIMUM; MODEL; CLIMATE; RECONSTRUCTION; SENSITIVITY; MELTWATER; EVENT; AGE</t>
  </si>
  <si>
    <t>A coupled model simulates a shallower and weaker North Atlantic Deep Water circulation at the Last Glacial Maximum, compared to the modern, with an enhanced intrusion of Antarctic Bottom Water into the North Atlantic. These circulation changes are caused by the enhanced Antarctic Bottom Water formation, which is triggered by the enhanced equatorward sea-ice transport, ultimately by increased westerlies, in the Southern Ocean at the Last Glacial Maximum.</t>
  </si>
  <si>
    <t>Univ Wisconsin, Ctr Climat Res, Madison, WI 53706 USA; Natl Ctr Atmospher Res, Boulder, CO 80307 USA</t>
  </si>
  <si>
    <t>University of Wisconsin System; University of Wisconsin Madison; National Center Atmospheric Research (NCAR) - USA</t>
  </si>
  <si>
    <t>Shin, SI (corresponding author), NOAA, CIRES, Climate Diagnost Ctr, Boulder, CO 80303 USA.</t>
  </si>
  <si>
    <t>Otto-Bliesner, Bette/AAY-7691-2020</t>
  </si>
  <si>
    <t>10.1029/2002GL015513</t>
  </si>
  <si>
    <t>678YB</t>
  </si>
  <si>
    <t>WOS:000182893300002</t>
  </si>
  <si>
    <t>Sugiyama, S; Gudmundsson, GH</t>
  </si>
  <si>
    <t>Diurnal variations in vertical strain observed in a temperate valley glacier</t>
  </si>
  <si>
    <t>UNTERAARGLETSCHER; SWITZERLAND; SURFACE; BED</t>
  </si>
  <si>
    <t>During a period of diurnal fluctuations in glacial flow speed, vertical strain was measured with sub-daily temporal resolution on Unteraargletscher, Switzerland. Mean vertical strain in boreholes up to 300-m deep in 400-m-thick ice was found to fluctuate diurnally. Vertical strain rates were tensile in the daytime and compressive at night, with a magnitude of up to 10(-3) day(-1). Horizontal surface strain was observed to fluctuate in a manner consistent with the vertical deformation. Diurnal surface flow speed variations correlated well with basal water pressure suggesting a basal control on temporal flow variations. Nevertheless, the strain rate measurements indicated that changes in surface flow speed are affected by internal ice deformation and not a direct measure of local basal motion. Basal conditions in the surrounding neighborhood and their temporal variations take an important role in short-term glacial flow fluctuations.</t>
  </si>
  <si>
    <t>Hokkaido Univ, Inst Low Temp Sci, Sapporo, Hokkaido 060, Japan; British Antarctic Survey, Cambridge CB3 0ET, England</t>
  </si>
  <si>
    <t>Hokkaido University; UK Research &amp; Innovation (UKRI); Natural Environment Research Council (NERC); NERC British Antarctic Survey</t>
  </si>
  <si>
    <t>Sugiyama, S (corresponding author), Hokkaido Univ, Inst Low Temp Sci, Sapporo, Hokkaido 060, Japan.</t>
  </si>
  <si>
    <t>Gudmundsson, Gudmundur Hilmar/F-6499-2012; Gudmundsson, Gudmundur Hilmar/AAU-5987-2020; Sugiyama, Shin/C-2511-2012</t>
  </si>
  <si>
    <t>Gudmundsson, Gudmundur Hilmar/0000-0003-4236-5369; Gudmundsson, Gudmundur Hilmar/0000-0003-4236-5369;</t>
  </si>
  <si>
    <t>JAN 30</t>
  </si>
  <si>
    <t>10.1029/2002GL016160</t>
  </si>
  <si>
    <t>678YA</t>
  </si>
  <si>
    <t>WOS:000182893200005</t>
  </si>
  <si>
    <t>Bargu, S; Marinovic, B; Mansergh, S; Silver, MW</t>
  </si>
  <si>
    <t>Feeding responses of krill to the toxin-producing diatom Pseudo-nitzschia</t>
  </si>
  <si>
    <t>herbivores; feeding behavior; krill; Pseudo-nitzschia; domoic acid; Cassin's auklet</t>
  </si>
  <si>
    <t>DOMOIC ACID PRODUCTION; MARINE FOOD WEBS; EUPHAUSIA-SUPERBA; ANTARCTIC KRILL; CENTRAL CALIFORNIA; CALANUS-PACIFICUS; AMINO-ACIDS; KAINIC ACID; WEST-COAST; SEA LIONS</t>
  </si>
  <si>
    <t>Krill are important grazers on diatoms and critical prey items for many high level carnivores in Monterey Bay and elsewhere along the California coast. Here, some of the higher level consumers have recently been shown to be severely affected by the toxin, domoic acid (DA), a secondary metabolite of some species of the diatom Pseudo-nitzschia. To understand the potential role of krill in vectoring DA from diatoms to large predators, several grazing experiments were conducted. Field-collected Euphausia pacifica and Thysanoessa spinifera were fed on a diet of toxic and nontoxic Pseudo-nitzschia species. Gut evacuation rates of krill and CHN analysis of the algae were obtained concurrently to determine gut residence time and nutritional value of the food. Our results from a short-term (6 h) grazing experiment demonstrated that both E. pacifica and T spinifera consumed toxic Pseudo-nitzschia multiseries but the responses of the two krill species differed to a degree, with E. pacifica having the higher weight-specific feeding rate. Results from a longer-term (24 h) grazing experiment showed that E. pacifica had a different, interrupted grazing pattern and showed no immediate ill effects when consuming toxic P. multiseries as contrasted with its more constant feeding pattern on non-toxic Pseudo-nitzschia pungens. We show that toxin loads in krill digestive tracts, estimated from feeding rates and gut residence time measured here, match the observed body burdens of DA measured in field-collected krill during toxic blooms. Such data are important for predicting toxin transfer from krill to higher trophic levels during blooms of toxic algae. As an example of this transfer, we show the vulnerability of a krill-feeding seabird, Cassin's Auklet (Ptychoramphus aleuticus) to DA likely vectored by krill during toxic Pseudo-nitzschia blooms. (C) 2002 Elsevier Science B.V. All rights reserved.</t>
  </si>
  <si>
    <t>Mustafa Kemal Univ, Dept Biol, Fac Liberal Arts &amp; Sci, TR-31024 Antakya, Hatay, Turkey; Univ Calif Santa Cruz, Inst Marine Sci, Long Marine Lab, Santa Cruz, CA 95060 USA; Monterey Bay Aquarium Res Inst, Monterey, CA 93940 USA; Univ Calif Santa Cruz, Dept Ocean Sci, Santa Cruz, CA 95064 USA</t>
  </si>
  <si>
    <t>Mustafa Kemal University; University of California System; University of California Santa Cruz; Monterey Bay Aquarium Research Institute; University of California System; University of California Santa Cruz</t>
  </si>
  <si>
    <t>Bargu, S (corresponding author), Mustafa Kemal Univ, Dept Biol, Fac Liberal Arts &amp; Sci, TR-31024 Antakya, Hatay, Turkey.</t>
  </si>
  <si>
    <t>sibelbargu@hotmail.com</t>
  </si>
  <si>
    <t>JAN 29</t>
  </si>
  <si>
    <t>PII S0022-0981(02)00494-X</t>
  </si>
  <si>
    <t>10.1016/S0022-0981(02)00494-X</t>
  </si>
  <si>
    <t>638DB</t>
  </si>
  <si>
    <t>WOS:000180554000006</t>
  </si>
  <si>
    <t>Fernandez, JH; Piazza, LR; Kaufmann, P</t>
  </si>
  <si>
    <t>Trimpi occurrence and geomagnetic activity: Analysis of events detected at Comandante Ferraz Brazilian Antarctic Station (L=2.25)</t>
  </si>
  <si>
    <t>ionosphere; Antarctic Peninsula; Trimpi events; geomagnetic activity; radio propagation</t>
  </si>
  <si>
    <t>ELECTRON-PRECIPITATION EVENTS; VLF PROPAGATION; IONOSPHERE; PERTURBATIONS; MAGNETOSPHERE; DENSITY; WAVES</t>
  </si>
  <si>
    <t>[1] We present an analysis of the occurrence of Trimpi events observed at Comandante Ferraz Brazilian Antarctic Station (EACF), at L = 2.25, as observed by the amplitude of very low frequency (VLF) signals transmitted from Hawaii (NPM 21.4 kHz) from April 1996 to August 1999. The event parameters ( total duration, amplitude variation, time incidence, and type ( negative or positive)) were analyzed for 4394 events detected in the first year ( solar minimum and relatively low Trimpi activity). The Trimpi occurrence was compared with geomagnetic activity for the whole period. A higher incidence of Trimpi events was observed near the equinoxes, with minima at the solstices following the same behavior as the Ap indices annual variation. During the day, their incidence peaked at similar to0700 and similar to1045 UT in accordance with the occurrence of lightning flashes in the geomagnetic conjugate regions but apparently not in agreement to the daily mean geomagnetic variation (Kp index) found to be peaked ( in entire years sampling average) at 0300 UT and weaker at 0900 UT for the whole 4-year period. The relationship between Trimpi occurrence and rise in solar activity for cycle 23 is discussed. A sudden strong incidence of Trimpi events around 5 May 1998 and 27 August 1998 was attributed to pronounced magnetic storms (Dst index).</t>
  </si>
  <si>
    <t>Univ Presbiteriana Mackenzie, Inst Nacl Pesquisas Espaciais, CRAAM, BR-01302907 Sao Paulo, Brazil; Inst Nacl Pesquisas Espaciais, BR-12201 Sao Jose Dos Campos, SP, Brazil; Univ Estadual Campinas, CCS, Sao Paulo, Brazil</t>
  </si>
  <si>
    <t>Instituto Nacional de Pesquisas Espaciais (INPE); Universidade Presbiteriana Mackenzie; Instituto Nacional de Pesquisas Espaciais (INPE); Universidade Estadual de Campinas</t>
  </si>
  <si>
    <t>Univ Presbiteriana Mackenzie, Inst Nacl Pesquisas Espaciais, CRAAM, R da Consolacao 896, BR-01302907 Sao Paulo, Brazil.</t>
  </si>
  <si>
    <t>jhenrix@aol.com</t>
  </si>
  <si>
    <t>Fernandez, Jose Henrique/0000-0002-7993-2972</t>
  </si>
  <si>
    <t>JAN 28</t>
  </si>
  <si>
    <t>A1</t>
  </si>
  <si>
    <t>10.1029/2001JA009213</t>
  </si>
  <si>
    <t>679EN</t>
  </si>
  <si>
    <t>WOS:000182907900002</t>
  </si>
  <si>
    <t>Matear, RJ; Wong, CS; Xie, L</t>
  </si>
  <si>
    <t>Can CFCs be used to determine anthropogenic CO2? -: art. no. 1013</t>
  </si>
  <si>
    <t>CFCs; anthropogenic CO2; North Pacific</t>
  </si>
  <si>
    <t>CARBON-DIOXIDE; SOUTHERN-OCEAN; ATLANTIC-OCEAN; NORTH; INCREASE; STORAGE; CFC-11; WATER; MODEL</t>
  </si>
  <si>
    <t>[1] From model simulations of the uptake of CFC-11, CFC-12 and anthropogenic CO2, we investigate the method of using CFC-derived water ages to determine the anthropogenic CO2 accumulation in the ocean. The CFC age method is best suited to water younger than 30 years where CFC water ages are most reliable. For water younger than 30 years, the CFC-12 and CFC-11 age method can estimate the global 1980 - 1990 accumulation of anthropogenic CO2 to within 10% and 22%, respectively. With the exception of the Southern Ocean south of 50degreesS and the equatorial upwelling areas, these CFC-derived estimates of the water column inventory of anthropogenic CO2 are within 10% of the simulated values. Our results suggest that the CFC age method provides another way of determining the accumulation of anthropogenic CO2 in the ocean. We applied the CFC age method to observed CFC data to estimate the accumulation of anthropogenic CO2 in the North Pacific (20degreesN-65degreesN) between 1980 and 1990. For water younger than 30 years the CFC-derived estimate of accumulation is 1.1 Gt C. In comparison, the estimate from the simulated CFC distribution is 1.3 Gt C. Our model simulation overestimated the accumulation north of 40 degreesN and underestimated the penetration of anthropogenic CO2 into the subtropical gyre. From the observed CFC data we estimate the anthropogenic CO2 uptake by the North Pacific to be 1.1 Gt C/yr for the 1980s.</t>
  </si>
  <si>
    <t>CSIRO Marine Res, Hobart, Tas 7001, Australia; Antarctic Cooperate Res Ctr, Hobart, Tas 7001, Australia; Fisheries &amp; Oceans Canada Inst Ocean Sci, Sidney, BC V8L 4B2, Canada</t>
  </si>
  <si>
    <t>Commonwealth Scientific &amp; Industrial Research Organisation (CSIRO); Fisheries &amp; Oceans Canada</t>
  </si>
  <si>
    <t>CSIRO Marine Res, GPO Box 1538, Hobart, Tas 7001, Australia.</t>
  </si>
  <si>
    <t>Richard.Matear@csiro.au; WongCS@pac.dfo-mpo.gc.ca; XIEL@pac.dfo-mpo.gc.ca</t>
  </si>
  <si>
    <t>matear, richard/C-5133-2011</t>
  </si>
  <si>
    <t>matear, richard/0000-0002-3225-0800</t>
  </si>
  <si>
    <t>JAN 25</t>
  </si>
  <si>
    <t>10.1029/2001GB001415</t>
  </si>
  <si>
    <t>660FK</t>
  </si>
  <si>
    <t>WOS:000181823000001</t>
  </si>
  <si>
    <t>Carleton, AM</t>
  </si>
  <si>
    <t>Atmospheric teleconnections involving the Southern Ocean</t>
  </si>
  <si>
    <t>International Workshop on Large-Scale Variability in the Southern Ocean</t>
  </si>
  <si>
    <t>AUG 02-07, 1999</t>
  </si>
  <si>
    <t>CAMBRIDGE, ENGLAND</t>
  </si>
  <si>
    <t>teleconnections; Southern Ocean; ENSO; Sea Ice; Sub-Anarctic</t>
  </si>
  <si>
    <t>ANTARCTIC SEA-ICE; LOW-FREQUENCY VARIABILITY; EXTRATROPICAL CYCLONE BEHAVIOR; LEVEL PRESSURE VARIABILITY; HALF-YEARLY CYCLE; CIRCUMPOLAR WAVE; SEMIANNUAL OSCILLATION; INTERANNUAL VARIATIONS; HEMISPHERE WINTER; FROST PROJECT</t>
  </si>
  <si>
    <t>[1] I review the characteristic patterns of low-frequency (interannual and subdecadal) variation in atmospheric circulation over the Southern Hemisphere (SH) extratropics and their climatic associations (e.g., temperature, precipitation, winds, sea surface temperatures (SSTs), and sea ice conditions) for the Southern Ocean. The considerable spatial and temporal limitations of the observational database have strongly conditioned the pace of our understanding of SH teleconnections, particularly for the Pacific sector, where the tropical El Nino-Southern Oscillation (ENSO) exerts a dominant influence: an ENSO signal appears in the intensity interannual variations of the Amundsen Sea mean low pressure (ASL), jet streams, and long waves. These variations comprise the so-called Pacific-South America (PSA) teleconnection. Patterns of low-frequency variability in SH circulation that are mostly extratropical in origin, but which can interact with ENSO, are dominated by the zonally symmetric high-latitude mode or Antarctic Oscillation (AAO). The AAO involves an alternation of atmospheric mass between middle and high southern latitudes. A zonally asymmetric mode of wave number 1 is represented by an oscillation in pressure/height between Australian and South American sectors, depicted by a Trans-Polar circulation index. A significant wave number 2 oscillation in the coupled atmosphere ocean - ice system or Antarctic circumpolar wave (ACW) has a similar periodicity to ENSO and is strongest in the Pacific - SW Atlantic sectors. Atmospheric teleconnections involving the Southern Ocean, including those to ENSO, show evidence of recent changes, and the climatic implications of these are discussed.</t>
  </si>
  <si>
    <t>Penn State Univ, Dept Geog, University Pk, PA 16802 USA; Penn State Univ, Coll Earth &amp; Mineral Sci, EMS Environm Inst, University Pk, PA 16802 USA</t>
  </si>
  <si>
    <t>Penn State Univ, Dept Geog, 302 Walker Bldg, University Pk, PA 16802 USA.</t>
  </si>
  <si>
    <t>carleton@essc.psu.edu</t>
  </si>
  <si>
    <t>JAN 23</t>
  </si>
  <si>
    <t>10.1029/2000JC000379</t>
  </si>
  <si>
    <t>660JF</t>
  </si>
  <si>
    <t>WOS:000181829500001</t>
  </si>
  <si>
    <t>Wang, XJ; Matear, RJ; Trull, TW</t>
  </si>
  <si>
    <t>Nutrient utilization ratios in the Polar Frontal Zone in the Australian sector of the Southern Ocean: A model</t>
  </si>
  <si>
    <t>Redfield ratio; Southern Ocean; nutrients; export production</t>
  </si>
  <si>
    <t>SUB-ANTARCTIC ZONE; IRON-DEFICIENCY; ORGANIC-CARBON; CLIMATE-CHANGE; REDFIELD; NITROGEN; EXPORT; PARTICULATE; FLUXES; GROWTH</t>
  </si>
  <si>
    <t>[1] To investigate the non-Redfield N/P depletion ratio in the Polar Frontal Zone (PFZ) of the Southern Ocean, we simulated the seasonal nitrate, phosphate, and silicate cycle in the upper ocean with a biophysical model. Total phytoplankton biomass was prescribed from the Sea-viewing Wide Field-of-view Sensor (SeaWiFS) estimates, and we included two phytoplankton types, diatoms and nondiatoms. We set the nondiatoms N/P uptake ratio to 16 while the diatoms N/P and N/Si ratios were determined by fitting the observed seasonal nitrate, phosphate, and silicate cycle in the mixed layer. The best model fit to the observations required an annual N/P utilization ratio of 13.2, but this low N/P ratio still overestimated the nitrate utilization during the summer. We considered three mechanisms for improving the simulated nitrate cycle: (1) seasonal variation in the N/P ratio of the horizontal nutrient supply to the PFZ, (2) different remineralization length scales for particulate organic nitrogen (PON) and particulate organic phosphorus (POP), and (3) seasonal accumulation and decomposition of labile dissolved and suspended organic matter (OM). Model simulations showed that the seasonal variability in the N/P ratio of horizontal supply failed to reduce the simulated excess nitrate utilization in summer. Preferential recycling of PON compared to POP below the mixed layer degrades the simulation and cannot produce results that satisfy both the observed seasonal nitrate and phosphate cycle in the mixed layer. The most realistic model simulation was obtained with preferential recycling of POP over PON, but this mechanism alone was incapable of satisfying the summer nitrate and phosphate data. With the inclusion of an OM pool in our model we were able to reproduce the observed seasonal mixed layer nitrate and phosphate cycles. Satisfactory results can be achieved through various combinations of the N/P ratio of OM and the lifetime of the OM. Seasonal observations of dissolved and suspended organic phosphorus, nitrogen and carbon are needed to confirm their role. The important conclusion of our model study is that in the PFZ the annual nutrient utilization ratio of nitrate to phosphate is considerably less than the classical Redfield value of 16.</t>
  </si>
  <si>
    <t>Univ Tasmania, Inst Antarctic &amp; So Ocean Studies, Antarctic CRC, Hobart, Tas 7001, Australia</t>
  </si>
  <si>
    <t>Univ Maryland, Earth Syst Sci Interdisciplinary Ctr, 2227 Comp &amp; Space Sci,Bldg 224, College Pk, MD 20742 USA.</t>
  </si>
  <si>
    <t>wwang@essic.umd.edu</t>
  </si>
  <si>
    <t>Trull, Tom W/B-7028-2014; Wang, Xiujun/F-2641-2010; matear, richard/C-5133-2011</t>
  </si>
  <si>
    <t>Wang, Xiujun/0000-0002-2859-8011; matear, richard/0000-0002-3225-0800</t>
  </si>
  <si>
    <t>JAN 22</t>
  </si>
  <si>
    <t>10.1029/2002GB001938</t>
  </si>
  <si>
    <t>660FH</t>
  </si>
  <si>
    <t>WOS:000181822800002</t>
  </si>
  <si>
    <t>Polyak, L; Stanovoy, V; Lubinski, DJ</t>
  </si>
  <si>
    <t>Stable isotopes in benthic foraminiferal calcite from a river-influenced Arctic marine environment, Kara and Pechora Seas</t>
  </si>
  <si>
    <t>stable isotopes; benthic foraminifers; Arctic seas; near-estuarine environment</t>
  </si>
  <si>
    <t>LAST DEGLACIATION; LAPTEV SEA; FRESH-WATER; DELTA-O-18; SHELF; OCEAN; FRACTIONATION; STRATIGRAPHY; SEDIMENT; BARENTS</t>
  </si>
  <si>
    <t>[1] Oxygen and carbon stable-isotope compositions of modern benthic foraminifera in the Kara and Pechora estuarine regions of the Arctic continental shelf were compared with water delta(18)O, delta(13)C(DIC), temperature, and salinity. The foraminiferal delta(18)O distribution is mostly similar to that of equilibrium calcite, primarily controlled by mixing of runoff and seawater in near-estuarine areas (depth &lt; 15-20 m), with additional temperature control seaward. The delta C-13 composition is controlled by remineralization of organic matter, mostly imported by rivers, and by water mixing. Most analyses used the common Arctic foraminifer Elphidium excavatum forma clavata, which yields depleted delta C-13, as expected for an infaunal species. Isotope records for sediment cores off the Pechora and Yenisey rivers show a decelerating rise in isotope values, of up to 10% in delta O-18, over the last 10 kyr in a pattern similar to that of rising sea level and concomitant retreat of river mouths, with local complexities probably resulting from glacio-isostatic rebound and changes in sedimentation.</t>
  </si>
  <si>
    <t>Ohio State Univ, Byrd Polar Res Ctr, Columbus, OH 43210 USA; Arctic &amp; Antarctic Res Inst, St Petersburg 199397, Russia; Univ Colorado, Inst Arctic &amp; Alpine Res, Boulder, CO 80309 USA</t>
  </si>
  <si>
    <t>University System of Ohio; Ohio State University; Arctic &amp; Antarctic Research Institute; University of Colorado System; University of Colorado Boulder</t>
  </si>
  <si>
    <t>Ohio State Univ, Byrd Polar Res Ctr, 1090 Carmack Rd, Columbus, OH 43210 USA.</t>
  </si>
  <si>
    <t>polyak.1@osu.edu; stanovoy@lens.spb.ru; David.Lubinski@colorado.edu</t>
  </si>
  <si>
    <t>LUBINSKI, DAVID/0000-0001-8167-2367</t>
  </si>
  <si>
    <t>10.1029/2001PA000752</t>
  </si>
  <si>
    <t>660KN</t>
  </si>
  <si>
    <t>WOS:000181832500001</t>
  </si>
  <si>
    <t>Können, GP; Wessels, HRA; Tinbergen, J</t>
  </si>
  <si>
    <t>Halo polarization profiles and sampled ice crystals:: observations and interpretation</t>
  </si>
  <si>
    <t>APPLIED OPTICS</t>
  </si>
  <si>
    <t>Simultaneous two-wavelength polarization and radiance distributions have been obtained for 22degrees parhelia in four Antarctic ice-crystal swarms that extended to ground level. Samples of crystals that produced these parhelia were collected and replicated. The wavelength dependence of the width of the halo polarization peak agrees with Fraunhofer diffraction theory, indicating that the broadening of the halos is caused primarily by diffraction. However, the observed broadening is much more than predicted from the size distribution of the replicated crystals. From one halo display to the other, the ratio of observed/predicted broadening is erratic, suggesting size-dependent collection efficiency in the sampling. This would imply that, for South Pole conditions, halo polarimetry (or even photometry) is a more reliable method for crystal size determination than actual sampling. It also implies that shapes of the sampled crystals need not necessarily be representative for the shapes of the halo-making crystals in the swarm. Our previous hypothesis [Appl. Opt. 33,4569 (1994)], that a spread of interfacial angles is the dominating cause of halo broadening, has proved untenable. (C) 2003 Optical Society of America.</t>
  </si>
  <si>
    <t>Royal Netherlands Meteorol Inst, NL-3730 AE De Bilt, Netherlands; Leiden Univ, Netherlands Fdn Res Astron, NL-7990 AA Dwingeloo, Netherlands</t>
  </si>
  <si>
    <t>Royal Netherlands Meteorological Institute; Leiden University; Leiden University - Excl LUMC</t>
  </si>
  <si>
    <t>konnen@knmi.nl</t>
  </si>
  <si>
    <t>OPTICAL SOC AMER</t>
  </si>
  <si>
    <t>2010 MASSACHUSETTS AVE NW, WASHINGTON, DC 20036 USA</t>
  </si>
  <si>
    <t>1559-128X</t>
  </si>
  <si>
    <t>2155-3165</t>
  </si>
  <si>
    <t>APPL OPTICS</t>
  </si>
  <si>
    <t>Appl. Optics</t>
  </si>
  <si>
    <t>JAN 20</t>
  </si>
  <si>
    <t>10.1364/AO.42.000309</t>
  </si>
  <si>
    <t>Optics</t>
  </si>
  <si>
    <t>636XV</t>
  </si>
  <si>
    <t>WOS:000180483300002</t>
  </si>
  <si>
    <t>King, JC; Comiso, JC</t>
  </si>
  <si>
    <t>The spatial coherence of interannual temperature variations in the Antarctic Peninsula</t>
  </si>
  <si>
    <t>VARIABILITY</t>
  </si>
  <si>
    <t>[1] The west coast of the Antarctic Peninsula is a region of extreme interannual variability in near-surface temperatures. Recently the region has also experienced more rapid warming than any other part of the Southern Hemisphere. In this paper we use a new dataset of satellite-derived surface temperatures to define the extent of the region of extreme variability more clearly than was possible using the sparse station data. The region in which satellite surface temperatures correlate strongly with west Peninsula station temperatures is largely confined to the seas just west of the Peninsula. Correlation of Peninsula surface temperatures with those over the rest of continental Antarctica is poor confirming that the west Peninsula is in a different climate regime. Our analysis suggests that only one of five existing ice cores from the region is likely to provide a proxy climate record that is representative of the west coast.</t>
  </si>
  <si>
    <t>British Antarctic Survey, NERC, Cambridge CB3 0ET, England; NASA, Goddard Space Flight Ctr, Lab Hydrospher Proc, Greenbelt, MD 20771 USA</t>
  </si>
  <si>
    <t>UK Research &amp; Innovation (UKRI); Natural Environment Research Council (NERC); NERC British Antarctic Survey; National Aeronautics &amp; Space Administration (NASA); NASA Goddard Space Flight Center</t>
  </si>
  <si>
    <t>British Antarctic Survey, NERC, Cambridge CB3 0ET, England.</t>
  </si>
  <si>
    <t>jcki@bas.ac.uk; joey@gsfc.nasa.gov</t>
  </si>
  <si>
    <t>JAN 18</t>
  </si>
  <si>
    <t>10.1029/2002GL015580</t>
  </si>
  <si>
    <t>655VP</t>
  </si>
  <si>
    <t>WOS:000181573600002</t>
  </si>
  <si>
    <t>Constable, AJ; Nicol, S; Strutton, PG</t>
  </si>
  <si>
    <t>Southern Ocean productivity in relation to spatial and temporal variation in the physical environment</t>
  </si>
  <si>
    <t>Antarctic ecosystem; biological-physical coupling; air-sea interactions; krill dynamics; ecosystem modeling</t>
  </si>
  <si>
    <t>KRILL EUPHAUSIA-SUPERBA; EAST ANTARCTICA 80-150-DEGREES-E; AUSTRAL SUMMER; PHYTOPLANKTON BIOMASS; BELLINGSHAUSEN SEA; SHETLAND ISLANDS; INDIAN SECTOR; WATER MASSES; CARBON-CYCLE; ROSS SEA</t>
  </si>
  <si>
    <t>[1] The physical factors that have been reported to affect primary and secondary production in the Southern Ocean are examined and critically reviewed. Long time series of physical measurements from the Southern Ocean are available and there is a theoretical base from which models can be constructed. In contrast, there are few large-scale measurements of biological parameters and a paucity of long-term biological data sets for the Antarctic region. The absence of predictive models for the biological systems of the region is underpinned by the absence of theoretical understanding of the variations in the physical environment and their effects on primary, secondary, or tertiary production. To further this understanding, we have examined some of the major seasonal and interannual physical data available for the region (sea ice extent and retreat rate, wind stress, and surface ocean circulation patterns) and have examined their relationship to spatial and temporal variation in satellite-derived proxies of primary productivity (Sea-viewing Wide Field-of-view Sensor (SeaWiFS) ocean color data). The results indicate that there are regional differences in the dominant physical forcings and that simple models will fail to replicate the observed patterns of primary production. We have also used the dynamics of Antarctic krill in the South Atlantic as an example to develop a model and explore the various hypotheses that have been put forward to explain interannual variability in this region. Results from this model indicate that the physical system may change in ways that cause periodic shifts in the relative importance of the factors that affect secondary production. The implications for the design of future research programs are explored.</t>
  </si>
  <si>
    <t>Australian Antarctic Div, Kingston, Tas, Australia; SUNY Stony Brook, Marine Sci Res Ctr, Stony Brook, NY 11794 USA</t>
  </si>
  <si>
    <t>Australian Antarctic Division; State University of New York (SUNY) System; State University of New York (SUNY) Stony Brook</t>
  </si>
  <si>
    <t>Australian Antarctic Div, Channel Highway, Kingston, Tas, Australia.</t>
  </si>
  <si>
    <t>stephe_nic@aad.gov.au; peter.strutton@sunysb.edu</t>
  </si>
  <si>
    <t>Strutton, Peter/C-4466-2011</t>
  </si>
  <si>
    <t>Strutton, Peter/0000-0002-2395-9471</t>
  </si>
  <si>
    <t>10.1029/2001JC001270</t>
  </si>
  <si>
    <t>659VX</t>
  </si>
  <si>
    <t>WOS:000181799100001</t>
  </si>
  <si>
    <t>Nath, PC; Vaughan, DG</t>
  </si>
  <si>
    <t>Subsurface crevasse formation in glaciers and ice sheets</t>
  </si>
  <si>
    <t>glaciology; ice; fracture</t>
  </si>
  <si>
    <t>FRACTURE-MECHANICS APPROACH; STREAM-B; PENETRATING RADAR; ANTARCTICA; CONFIGURATION; TOUGHNESS; MARGIN; FLOW</t>
  </si>
  <si>
    <t>[1] Crevasses form in response to tensile stresses in glaciers and ice sheets. It has been widely assumed that crevasses initiate at, or near, the surface of the ice, from starter cracks up to a few centimeters long. If the tensile stress is sufficient, these cracks propagate downward into the ice to form a crevasse, until the weight-induced lithostatic stress prevents them penetrating deeper. We present ground-penetrating radar data acquired on the Rutford Ice Stream, Antarctica, which indicate that crevasses occur at depths of several meters beneath the ice surface and were formed in areas where surface crevassing is absent. The data support the hypothesis that these are examples of subsurface crevasse formation. Using linear elastic fracture mechanics (LEFM), we investigate the feasibility of crevasse initiation at depth. We consider the initiation of an isolated crevasse from a subsurface crack, subject to a dynamic tensile stress'' which results from deformation associated with ice movement and a weight-induced lithostatic stress. The LEFM approach allows us to estimate a(init), the minimum length a crack must be before crack propagation will occur. In earlier models of crevasse formation, it was assumed that the dynamic tensile stress is constant with depth. We consider a more realistic scenario, where the dynamic tensile stress varies with depth, in such a way that the tensile strain rate remains constant. We show that in this scenario, crevasse initiation from centimeter-scale starter cracks is feasible at depths of 10-30 m, as well as at the surface. At present, the formulation of a reliable predictive model is limited by an incomplete knowledge of the mechanical properties of firn. In previous studies, the depth of buried crevasses has been used to estimate the time elapsed since ice was exposed to higher stresses and different flow regimes. In the light of the results presented here, those estimates may need to be reviewed.</t>
  </si>
  <si>
    <t>Nath, PC (corresponding author), Parliamentary Off Sci &amp; Technol, 7 Millbank, London SW1P 3JA, England.</t>
  </si>
  <si>
    <t>dgv@bas.ac.uk</t>
  </si>
  <si>
    <t>Vaughan, David/C-8348-2011</t>
  </si>
  <si>
    <t>JAN 16</t>
  </si>
  <si>
    <t>B1</t>
  </si>
  <si>
    <t>10.1029/2001JB000453</t>
  </si>
  <si>
    <t>659WB</t>
  </si>
  <si>
    <t>WOS:000181799500002</t>
  </si>
  <si>
    <t>Freeman, MP</t>
  </si>
  <si>
    <t>A unified model of the response of ionospheric convection to changes in the interplanetary magnetic field</t>
  </si>
  <si>
    <t>HIGH-LATITUDE IONOSPHERE; NORTH-SOUTH COMPONENT; ELECTRODYNAMICS TECHNIQUE; IMF; TIME; EISCAT; POLAR; SUBSTORMS; FLOWS; RADAR</t>
  </si>
  <si>
    <t>[1] Two competing paradigms of the response of ionospheric convection to changes in the interplanetary magnetic field are synthesized into the common framework of the expanding-contracting polar cap (ECPC) model in order to reconcile apparently contradictory observations reported in the literature over the last 15 years or more. This is done by deriving analytical solutions to the ECPC model for two postulated idealized cases that capture the primary mathematical distinction between the two paradigms, and then simulating how these two responses would appear to different ways of observing them. It is shown that a single type of response could account for most of the variety of observed convection responses. In particular, we show that real phase motions along the polar cap boundary, such as due to an expansion of the reconnection X-line at the magnetopause, would be more readily identified by some observing methods than others, providing an explanation for why authors disagree on whether such phase motions actually exist.</t>
  </si>
  <si>
    <t>m.p.freeman@bas.ac.uk</t>
  </si>
  <si>
    <t>10.1029/2002JA009385</t>
  </si>
  <si>
    <t>659WJ</t>
  </si>
  <si>
    <t>WOS:000181800200002</t>
  </si>
  <si>
    <t>Barrett, P</t>
  </si>
  <si>
    <t>Palaeoclimatology - Cooling a continent</t>
  </si>
  <si>
    <t>Victoria Univ Wellington, Antarctic Res Ctr, Wellington 6005, New Zealand; Victoria Univ Wellington, Sch Earth Sci, Wellington 6005, New Zealand</t>
  </si>
  <si>
    <t>Victoria University Wellington; Victoria University Wellington</t>
  </si>
  <si>
    <t>Barrett, P (corresponding author), Victoria Univ Wellington, Antarctic Res Ctr, Kelburn Parade, Wellington 6005, New Zealand.</t>
  </si>
  <si>
    <t>10.1038/421221a</t>
  </si>
  <si>
    <t>635KG</t>
  </si>
  <si>
    <t>WOS:000180397600029</t>
  </si>
  <si>
    <t>Rapid Cenozoic glaciation of Antarctica induced by declining atmospheric CO2</t>
  </si>
  <si>
    <t>ICE-SHEET; SEDIMENTOLOGICAL EVIDENCE; STABLE-ISOTOPE; CLIMATE; OCEAN; TRANSITION; EVOLUTION; MARGIN</t>
  </si>
  <si>
    <t>The sudden, widespread glaciation of Antarctica and the associated shift towards colder temperatures at the Eocene/Oligocene boundary (similar to34 million years ago) (refs 1-4) is one of the most fundamental reorganizations of global climate known in the geologic record. The glaciation of Antarctica has hitherto been thought to result from the tectonic opening of Southern Ocean gateways, which enabled the formation of the Antarctic Circumpolar Current and the subsequent thermal isolation of the Antarctic continent(5). Here we simulate the glacial inception and early growth of the East Antarctic Ice Sheet using a general circulation model with coupled components for atmosphere, ocean, ice sheet and sediment, and which incorporates palaeogeography, greenhouse gas, changing orbital parameters, and varying ocean heat transport. In our model, declining Cenozoic CO2 first leads to the formation of small, highly dynamic ice caps on high Antarctic plateaux. At a later time, a CO2 threshold is crossed, initiating ice-sheet height/mass-balance feedbacks that cause the ice caps to expand rapidly with large orbital variations, eventually coalescing into a continental-scale East Antarctic Ice Sheet. According to our simulation the opening of Southern Ocean gateways plays a secondary role in this transition, relative to CO2 concentration.</t>
  </si>
  <si>
    <t>deconto@geo.umass.edu</t>
  </si>
  <si>
    <t>10.1038/nature01290</t>
  </si>
  <si>
    <t>WOS:000180397600041</t>
  </si>
  <si>
    <t>Terada, K; Sano, Y</t>
  </si>
  <si>
    <t>In situ U-Pb dating and REE analyses of phosphates in extraterrestrial materials</t>
  </si>
  <si>
    <t>APPLIED SURFACE SCIENCE</t>
  </si>
  <si>
    <t>13th International Conference on Secondary Ion Mass Spectrometry and Related Topics (SIMS XIII)</t>
  </si>
  <si>
    <t>NOV 11-16, 2001</t>
  </si>
  <si>
    <t>NARA, JAPAN</t>
  </si>
  <si>
    <t>U-Pb dating; chronology; meteorite; apatite; rare earth element; SIMS</t>
  </si>
  <si>
    <t>ION-MICROPROBE ANALYSIS; PB-207-PB-206; URANIUM; APATITE</t>
  </si>
  <si>
    <t>U and Pb isotopes and rare earth elements (REEs) of phosphate grains in three H-chondrites of different petrologic types were measured by the SHRIMP instrument. The observed ages of 4554+/-39 Ma (2sigma) of Y-7301 (H6) and 4535+/-120 Ma of Y-74371 (H4) are consistent with previous work using TIMS. In contrast, those of 4084+/-350 Ma of ALH-77294 (H5) is apparently younger than previous study on other H5 chondrites, suggesting that the U-Pb system was affected by secondary thermal event such as an impact heating. Observed isotopic compositions of common lead of these chondrites indicate that model age using the Pb composition of Canyon Diablo FeS as initial lead might not be valid for some Antarctic meteorites. The REE abundance patterns of the whitlockites normalized to Cl chondrite are characterized by an almost constant enrichment at 200-400 times higher than Cl chondrite, and a striking negative Eu anomaly. The REE abundances of the apatites are lower than those of whitlockite grains, and vary appreciably among different grains. The significant correlation between the Eu anomaly (Eu/Eu*) and concentration of REE is confirmed. (C) 2002 Elsevier Science B.V. All rights reserved.</t>
  </si>
  <si>
    <t>Hiroshima Univ, Dept Earth &amp; Planetary Sci, Higashihiroshima 7398526, Japan; Univ Tokyo, Ocean Res Inst, Tokyo 1648639, Japan</t>
  </si>
  <si>
    <t>Hiroshima University; University of Tokyo</t>
  </si>
  <si>
    <t>Terada, K (corresponding author), Hiroshima Univ, Dept Earth &amp; Planetary Sci, 1-3-1 Kagamiyama, Higashihiroshima 7398526, Japan.</t>
  </si>
  <si>
    <t>Sano, Yuji/GPT-3454-2022</t>
  </si>
  <si>
    <t>Sano, Yuji/0000-0002-3305-5644; Terada, Kentaro/0000-0003-0120-1229</t>
  </si>
  <si>
    <t>0169-4332</t>
  </si>
  <si>
    <t>APPL SURF SCI</t>
  </si>
  <si>
    <t>Appl. Surf. Sci.</t>
  </si>
  <si>
    <t>JAN 15</t>
  </si>
  <si>
    <t>PII S0169-4332(02)00831-0</t>
  </si>
  <si>
    <t>10.1016/S0169-4332(02)00831-0</t>
  </si>
  <si>
    <t>Chemistry, Physical; Materials Science, Coatings &amp; Films; Physics, Applied; Physics, Condensed Matter</t>
  </si>
  <si>
    <t>Chemistry; Materials Science; Physics</t>
  </si>
  <si>
    <t>637RT</t>
  </si>
  <si>
    <t>WOS:000180527300181</t>
  </si>
  <si>
    <t>Stark, JS; Snape, I; Riddle, MJ</t>
  </si>
  <si>
    <t>The effects of petroleum hydrocarbon and heavy metal contamination of marine sediments on recruitment of Antarctic soft-sediment assemblages: a field experimental investigation</t>
  </si>
  <si>
    <t>Antarctica; heavy metals; hydrocarbons; macrobenthos; recruitment; soft-sediments</t>
  </si>
  <si>
    <t>ACTIVE HABITAT SELECTION; CADIZ OIL-SPILL; SP-I LARVAE; BENTHIC COMMUNITIES; DEFAUNATED SEDIMENT; TEMPORAL VARIATION; ESTUARINE INFAUNA; BOTTOM COMMUNITY; STILL WATER; FLUME FLOWS</t>
  </si>
  <si>
    <t>A manipulative field experiment was conducted at Casey Station, Antarctica, to determine the effect of contamination of marine sediments on the recruitment and development of soft-sediment assemblages. Uncontaminated marine sediments were defaunated and then contaminated by adding hydrocarbons (diesel fuel and lubrication oil) or heavy metals (extracted from contaminated soil) prior to deployment on the seabed for a period of eleven weeks during an Antarctic summer (December to February) at three locations. Two of the locations were intended as reference locations (O'Brien and Sparkes Bay) and were well away from the influence of station activities, but Sparkes Bay was found to be naturally contaminated by some metals. The other location (Brown Bay) was adjacent to an abandoned waste disposal site and is contaminated by hydrocarbons and metals, and soft-sediment assemblages are different from those in control locations. Recruiting assemblages were significantly different between locations and there was a significant effect of sediment contamination. Assemblages in hydrocarbon contaminated sediment were significantly different to those in control and metal treated sediment at two of the locations (Brown and Sparkes Bay). There were no differences between assemblages in control sediment and metal-contaminated sediment. Univariate analyses (ANOVAs) indicated greater abundances of crustaceans, mainly due to several species of gammarid, in control and metal treatments than hydrocarbon-treated sediment. Further analysis (t-tests) revealed additional differences between hydrocarbon vs. both control and metal treatments, in the total abundance, and abundance of gammarids, tanaids, ostracods, isopods and copepods, particularly at Brown Bay and Sparkes Bay. There was also a trend of greater abundances of polychaetes and gastropods in hydrocarbon and metal treatments compared to the control. In comparison with the hydrocarbon treatment, the metal treatment had little effect. There was significant spatial variability in recruitment within each location. which may have obscured some effects of sediment contamination. There were also significant differences in variability of recruitment between locations. The rate of fauna recruiting to sediments in this experiment at Casey were greater than previously recorded in Antarctica. (C) 2003 Elsevier Science B.V. All rights reserved.</t>
  </si>
  <si>
    <t>PII S0022-0981(02)00449-5</t>
  </si>
  <si>
    <t>10.1016/S0022-0981(02)00449-5</t>
  </si>
  <si>
    <t>636HM</t>
  </si>
  <si>
    <t>WOS:000180448600002</t>
  </si>
  <si>
    <t>Haberman, KL; Quetin, LB; Ross, RM</t>
  </si>
  <si>
    <t>Diet of the Antarctic krill (Euphausia superba Dana):: I.: Comparisons of grazing on Phaeocystis antarctica (Karsten) and Thalassiosira antarctica (Comber)</t>
  </si>
  <si>
    <t>Antartic krill; diet; Euphausia superba; grazing; Phaeocystis antarctica; phytoplankton</t>
  </si>
  <si>
    <t>SEASONAL VARIABILITY; FEEDING-BEHAVIOR; SOUTH GEORGIA; PHYTOPLANKTON; PARTICLES; POUCHETII; GROWTH; CARBON; ABUNDANCE; BIOMASS</t>
  </si>
  <si>
    <t>Diatoms and prymnesiophytes are major constituents of spring phytoplankton blooms in the Antarctic. While diatoms are known to be well grazed by krill, the role of prymnesiophytes in the krill's diet is unknown. Clearance and ingestion rates of Euphausia superba grazing on three size classes of Phaeocystis antarctica were compared to rates on the diatom Thalassiosira antarctica in parallel, unialgal experiments. Clearance rates were calculated from disappearance of chlorophyll a during grazing, and converted to carbon and nitrogen ingestion rates based on elemental (CHN) analysis of phytoplankton cultures, Clearance and ingestion rates of krill on small R antaretica colonies (50-100 mum) were similar to rates on T. antarctica, whereas rates on medium P. antaretica colonies (100-500 mum) and single cell P. antarctica were significantly lower than for T antarctica. Overall, clearance rates on P antarctica decreased with increasing colony size. Clearance rates on T antarctica were variable, and correlated with degree of chain fort-nation. These results suggest that E. superba effectively grazes small colonies of P. antarctica, but not larger colonies or single cells. (C) 2003 Published by Elsevier Science B.V.</t>
  </si>
  <si>
    <t>Western Oregon Univ, Dept Biol, Monmouth, OR 97361 USA; Univ Calif Santa Barbara, Inst Marine Sci, Santa Barbara, CA 94306 USA</t>
  </si>
  <si>
    <t>Western Oregon University; University of California System; University of California Santa Barbara</t>
  </si>
  <si>
    <t>Western Oregon Univ, Dept Biol, Monmouth, OR 97361 USA.</t>
  </si>
  <si>
    <t>habermk@wou.edu</t>
  </si>
  <si>
    <t>PII S0022-0981(02)00466-5</t>
  </si>
  <si>
    <t>10.1016/S0022-0981(02)00466-5</t>
  </si>
  <si>
    <t>WOS:000180448600005</t>
  </si>
  <si>
    <t>Haberman, KL; Ross, RM; Quetin, LB</t>
  </si>
  <si>
    <t>Diet of the Antarctic krill (Euphausia superba Dana):: II.: Selective grazing in mixed phytoplankton assemblages</t>
  </si>
  <si>
    <t>Antarctic krill; cryptophyte; Euphausia superba; grazing; HPLC; Phaeocystis; selectivity</t>
  </si>
  <si>
    <t>MARINE PLANKTONIC COPEPOD; PHAEOCYSTIS-POUCHETII; FOOD SELECTION; FEEDING SELECTIVITY; NUTRITIONAL-VALUE; GROWTH; CARBON; ASSIMILATION; ZOOPLANKTON; BEHAVIOR</t>
  </si>
  <si>
    <t>Diatoms, prymnesiophytes, and cryptophytes are the major taxonomic classes of phytoplankton available to Antarctic krill as primary food resources. However, the relative contribution of each class to the diet of krill is unknown. In this study, selectivity for different phytoplankton taxa by Euphausia superba was examined during laboratory experiments with E. superba grazing on mixed phytoplankton assemblages from the wild and from laboratory cultures. Clearance rates and changes in relative concentrations of diatoms, prymnesiophytes and cryptophytes were measured by analysis of taxon-specific accessory photopigments with high performance liquid chromatography (HPLC). E. superba grazed diatoms at higher rates than Phaeocystis and cryptophytes. Grazing was negligible in cryptophyte-dominated assemblages, Increases of up to 369% in 19'-hexanoyloxyfucoxanthin (HF)/fucoxanthin (FUCO) (prymnesiophyte/diatom) ratios indicated a high level of selectivity for diatoms over Phaeocystis. This selectivity occurred even for Phaeocystis colonies of similar size to diatoms, and thus cannot be entirely attributed to differential sieving efficiency based on particle size. The results suggest that krill actively select diatoms in phytoplankton mixtures. (C) 2003 Published by Elsevier Science B.V.</t>
  </si>
  <si>
    <t>PII S0022-0981(02)00467-7</t>
  </si>
  <si>
    <t>10.1016/S0022-0981(02)00467-7</t>
  </si>
  <si>
    <t>WOS:000180448600006</t>
  </si>
  <si>
    <t>Lu, HB; Fulthorpe, CS; Mann, P</t>
  </si>
  <si>
    <t>Three-dimensional architecture of shelf-building sediment drifts in the offshore Canterbury Basin, New Zealand</t>
  </si>
  <si>
    <t>drift deposition; continental shelf; continental slope; seismic data; Canterbury Basin; New Zealand</t>
  </si>
  <si>
    <t>ANTARCTIC CIRCUMPOLAR CURRENT; SOUTHERN ALPS; CONTINENTAL-MARGIN; PLATE BOUNDARY; ALPINE FAULT; DEEP-SEA; PACIFIC; ISLAND; CIRCULATION; TECTONICS</t>
  </si>
  <si>
    <t>A grid of high-resolution, multichannel seismic profiles from the offshore Canterbury Basin, New Zealand, reveals that at least 11 large (up to 1000 in thick, &gt;50 km long, along-strike, and 20 km wide, down-dip) elongate sediment drifts developed within the lower Miocene to Recent shelf-slope sediment prism. The drifts overlie a condensed section of late Eocene to late Oligocene limestone and cover an area of similar to5000 km(2). The drifts were deposited in water depths of 300-750 m, probably by a northward-flowing contour current, and aggraded to shelf depths. The drifts exhibit mounded morphologies with channel-like moats along their landward flanks. Erosion of the landward flanks creates prominent unconformities; these unconformities are diachronous and, therefore, not sequence boundaries. The internal architecture of the drifts defines two end members of elongate drift, which we describe as simple and complex. Early (early to middle Miocene) simple drifts are small (&lt;400 m thick, 10-28 km long and several kin wide) and concentrated in the southern part of the survey area. Drift thickness increased as the shelf aggraded and the locus of drift development migrated northeastward through time. Late (late Miocene to Recent) simple drifts are, therefore, larger (up to 1000 m thick, &gt; 50 km long and up to 20 km wide) and occur in the northeastern part of the survey area. These late, simple elongate drifts are subdivided into three parts (base, core, and crest) based on seismic facies. These facies form in response to progressive confinement of current flow within the moat. Complex drifts may be multi-crested or multistage. Multi-crested drifts form in response to rapid lateral shifts in position of the moat, perhaps associated with relative sea-level change, modulated by paleoslope inclination and orientation. Such drifts, together with the observation that several drifts were often active simultaneously, indicate that flow patterns were complex and involved multiple pathways. Multistage drifts comprise superimposed subdrifts whose retrogradational and progradational stacking patterns indicate fluctuations in the rate of sediment supply. Complex drift formation may require intermediate shelf relief: high enough to sustain drift development during changes in sea level and rate of sediment supply, but low enough so that such changes are still able to influence moat position. In addition, coeval climatic cooling may amplify changes in sea level, current intensity and sediment supply, thereby contributing to complex drift formation. (C) 2002 Elsevier Science B.V. All rights reserved.</t>
  </si>
  <si>
    <t>Univ Texas, Inst Geophys, Austin, TX 78759 USA; Univ Texas, Dept Geol Sci, Austin, TX 78712 USA</t>
  </si>
  <si>
    <t>University of Texas System; University of Texas Austin; University of Texas System; University of Texas Austin</t>
  </si>
  <si>
    <t>Univ Texas, Inst Geophys, 4412 Spicewood Springs Rd, Austin, TX 78759 USA.</t>
  </si>
  <si>
    <t>hongbo@ig.utexas.edu; craig@ig.utexas.edu; paulm@utig.ig.utexas.edu</t>
  </si>
  <si>
    <t>Fulthorpe, Craig/AEV-6014-2022; Fulthorpe, Craig S./C-3066-2008; Mann, Paul/A-2077-2009; Mann, Paul/AAH-5475-2019</t>
  </si>
  <si>
    <t>Mann, Paul/0000-0002-1158-1280</t>
  </si>
  <si>
    <t>PII S0025-3227(02)00612-6</t>
  </si>
  <si>
    <t>10.1016/S0025-3227(02)00612-6</t>
  </si>
  <si>
    <t>637CY</t>
  </si>
  <si>
    <t>WOS:000180495100002</t>
  </si>
  <si>
    <t>Burns, GB; Kawahara, TD; French, WJR; Nomura, A; Klekociuk, AR</t>
  </si>
  <si>
    <t>A comparison of hydroxyl rotational temperatures from Davis (69°S, 78°E) with sodium lidar temperatures from Syowa (69°S, 39°E) -: art. no. 1025</t>
  </si>
  <si>
    <t>STATION 69-DEGREES-S; MESOPAUSE REGION; ATMOSPHERE; AIRGLOW; ANTARCTICA; MIDDLE; TRENDS</t>
  </si>
  <si>
    <t>[1] We report the first substantive inter-site comparison of high southern latitude mesopause region winter temperatures. Davis (69degreesS, 78degreesE) hydroxyl rotational nightly-mean temperatures are significantly correlated with Syowa (69degreesS, 39degreesE) sodium lidar nightly-mean temperatures at 87 km made in 2000 (correlation coefficient of 0.68) and 2001 (0.51) despite a site separation of similar to1500 km. The Davis winter average temperature in 2001, 203 K, differs from the Syowa value of 201 K only by the uncertainty in the measurement. A more substantial 7 K separates the year 2000 winter averages, Davis again being warmer. The temperature difference between the sites is attributed to either variations in the hydroxyl layer or short-term cooling events in the mesopause region above Syowa that are not detected above Davis. Syowa winter temperatures at 87 km are similar to7 K cooler than for an equivalent latitude northern hemisphere site.</t>
  </si>
  <si>
    <t>Australian Antarctic Div, Kingston, Tas, Australia; Shinshu Univ, Fac Engn, Nagano 380, Japan</t>
  </si>
  <si>
    <t>Australian Antarctic Division; Shinshu University</t>
  </si>
  <si>
    <t>Burns, GB (corresponding author), Australian Antarctic Div, Kingston, Tas, Australia.</t>
  </si>
  <si>
    <t>; Klekociuk, Andrew/A-4498-2015</t>
  </si>
  <si>
    <t>French, John/0000-0001-9305-6190; Klekociuk, Andrew/0000-0003-3335-0034</t>
  </si>
  <si>
    <t>JAN 14</t>
  </si>
  <si>
    <t>10.1029/2002GL016413</t>
  </si>
  <si>
    <t>655VB</t>
  </si>
  <si>
    <t>WOS:000181572400004</t>
  </si>
  <si>
    <t>Horne, RB; Meredith, NP; Thorne, RM; Heynderickx, D; Iles, RHA; Anderson, RR</t>
  </si>
  <si>
    <t>Evolution of energetic electron pitch angle distributions during storm time electron acceleration to megaelectronvolt energies</t>
  </si>
  <si>
    <t>pitch angle; magnetic storm; radiation belt; wave acceleration</t>
  </si>
  <si>
    <t>OUTER RADIATION BELT; WHISTLER-MODE CHORUS; 1997 MAGNETIC CLOUD; RELATIVISTIC ELECTRONS; INNER MAGNETOSPHERE; GEOMAGNETIC STORMS; SOLAR-WIND; DIFFUSION; JANUARY; WAVES</t>
  </si>
  <si>
    <t>[1] We investigate the pitch angle distributions of 0.15-1.58 MeV electrons observed during the 9-15 October 1990 storm measured by the Combined Release and Radiation Effects Satellite (CRRES) spacecraft. This storm period is characterized by an enhancement in the electron flux at L approximate to 4 by more than an order of magnitude over the prestorm level. The overall change in flux at L approximate to 6.6 is small in comparison. Previous work shows that radial diffusion underestimates the flux enhancement by up to a factor of 5 for L less than or equal to 4.5 [Brautigam and Albert, 2000], indicating the need for an additional acceleration process. The pitch angle distributions presented here are examined for evidence of the acceleration mechanism. The distributions at L approximate to 2 are rounded and are dominated by Coulomb collisions. They show little variation during the storm. The distributions at L approximate to 3 are pancake-shaped before the storm, characteristic of pitch angle scattering by plasmaspheric hiss. During the main phase, they become broad and flat, and they evolve back into pancake distributions during the recovery phase. At L approximate to 4-6, the pitch angle distributions are characterized as butterfly distributions at storm onset, and they become broad flat top distributions during the recovery phase. The flat top distributions persist throughout the similar to3-day recovery phase and are observed in the region of highest flux enhancement. The flat top distributions are energy dependent and are broader at lower energies (30degrees-150degrees) than at higher energies (50degrees-130degrees). The higher energies exhibit a much faster fall off toward the loss cone than at lower energies. Inward radial diffusion should result in anisotropic distributions peaked near 90degrees and does not explain the observed energy dependence. Furthermore, the direction of diffusion is outward at higher energies. Model calculations of the pitch angles resonant with whistler mode waves show that flat top distributions are consistent with pitch angle and energy scattering in regions where f(pe)/f(ce)similar to1. Although radial diffusion may be very important for particle energization, the observed pitch angle distributions provide strong evidence that wave particle interactions play an important role in the energization process.</t>
  </si>
  <si>
    <t>British Antarctic Survey, Nat Environm Res Council, Cambridge CB3 0ET, England; UCL, Mullard Space Sci Lab, Surrey, England; Univ Calif Los Angeles, Dept Atmospher Sci, Los Angeles, CA 90024 USA; Belgian Inst Space Astron, Brussels, Belgium; Univ Iowa, Dept Phys &amp; Astron, Iowa City, IA 52242 USA</t>
  </si>
  <si>
    <t>UK Research &amp; Innovation (UKRI); Natural Environment Research Council (NERC); NERC British Antarctic Survey; University of London; University College London; University of California System; University of California Los Angeles; University of Iowa</t>
  </si>
  <si>
    <t>British Antarctic Survey, Nat Environm Res Council, Madingley Rd, Cambridge CB3 0ET, England.</t>
  </si>
  <si>
    <t>r.horne@bas.ac.uk; npm@mssl.ucl.ac.uk; rmt@atmos.ucla.edu; rhi@mssl.ucl.ac.uk; anderson@iowave.physics.uiowa.edu</t>
  </si>
  <si>
    <t>Horne, Richard B/U-3764-2019; Meredith, Nigel P/C-5806-2018; Heynderickx, Daniel/JBS-0816-2023</t>
  </si>
  <si>
    <t>Horne, Richard B/0000-0002-0412-6407; Heynderickx, Daniel/0000-0001-7136-9014; Meredith, Nigel/0000-0001-5032-3463</t>
  </si>
  <si>
    <t>10.1029/2001JA009165</t>
  </si>
  <si>
    <t>659WG</t>
  </si>
  <si>
    <t>WOS:000181800000001</t>
  </si>
  <si>
    <t>McNeil, BI; Matear, RJ; Key, RM; Bullister, JL; Sarmiento, JL</t>
  </si>
  <si>
    <t>Anthropogenic CO2 uptake by the ocean based on the global chlorofluorocarbon data set</t>
  </si>
  <si>
    <t>ATMOSPHERIC O-2; CARBON; WATER; VARIABILITY; INVENTORY; SINKS</t>
  </si>
  <si>
    <t>We estimated the oceanic inventory of anthropogenic carbon dioxide (CO2) from 1980 to 1999 using a technique based on the global chlorofluorocarbon data set. Our analysis suggests that the ocean stored 14.8 petagrams of anthropogenic carbon from mid-1980 to mid-1989 and 17.9 petagrams of carbon from mid-1990 to mid-1999, indicating an oceanwide net uptake of 1.6 and 2.0 +/- 0.4 petagrams of carbon per year, respectively. Our results provide an upper limit on the solubility-driven anthropogenic CO2 flux into the ocean, and they suggest that most ocean general circulation models are overestimating oceanic anthropogenic CO2 uptake over the past two decades.</t>
  </si>
  <si>
    <t>Princeton Univ, Atmospher &amp; Ocean Sci Program, Princeton, NJ 08544 USA; Commonwealth Sci &amp; Ind Res Org, Marine Res, Hobart, Tas, Australia; Antarctic Cooperat Res Ctr, Hobart, Tas, Australia; NOAA, Pacific Marine Environm Lab, Seattle, WA 98115 USA</t>
  </si>
  <si>
    <t>Princeton University; National Oceanic Atmospheric Admin (NOAA) - USA; Commonwealth Scientific &amp; Industrial Research Organisation (CSIRO); National Oceanic Atmospheric Admin (NOAA) - USA</t>
  </si>
  <si>
    <t>Princeton Univ, Atmospher &amp; Ocean Sci Program, Princeton, NJ 08544 USA.</t>
  </si>
  <si>
    <t>; matear, richard/C-5133-2011</t>
  </si>
  <si>
    <t>McNeil, Ben/0000-0001-5765-7087; matear, richard/0000-0002-3225-0800</t>
  </si>
  <si>
    <t>JAN 10</t>
  </si>
  <si>
    <t>10.1126/science.1077429</t>
  </si>
  <si>
    <t>633LD</t>
  </si>
  <si>
    <t>WOS:000180284000034</t>
  </si>
  <si>
    <t>Austin, J; Shindell, D; Beagley, SR; Brühl, C; Dameris, M; Manzini, E; Nagashima, T; Newman, P; Pawson, S; Pitari, G; Rozanov, E; Schnadt, C; Shepherd, TG</t>
  </si>
  <si>
    <t>Uncertainties and assessments of chemistry-climate models of the stratosphere</t>
  </si>
  <si>
    <t>MIDDLE ATMOSPHERE MODEL; DOPPLER-SPREAD PARAMETERIZATION; GRAVITY-WAVE PARAMETERIZATION; GENERAL-CIRCULATION MODEL; WATER-VAPOR; OZONE RESPONSE; GREENHOUSE-GAS; INTERANNUAL VARIABILITY; ARCTIC STRATOSPHERE; DOWNWARD CONTROL</t>
  </si>
  <si>
    <t>In recent years a number of chemistry-climate models have been developed with an emphasis on the stratosphere. Such models cover a wide range of time scales of integration and vary considerably in complexity. The results of specific diagnostics are here analysed to examine the differences amongst individual models and observations, to assess the consistency of model predictions, with a particular focus on polar ozone. For example, many models indicate a significant cold bias in high latitudes, the cold pole problem, particularly in the southern hemisphere during winter and spring. This is related to wave propagation from the troposphere which can be improved by improving model horizontal resolution and with the use of non-orographic gravity wave drag. As a result of the widely differing modelled polar temperatures, different amounts of polar stratospheric clouds are simulated which in turn result in varying ozone values in the models. The results are also compared to determine the possible future behaviour of ozone, with an emphasis on the polar regions and mid-latitudes. All models predict eventual ozone recovery, but give a range of results concerning its timing and extent. Differences in the simulation of gravity waves and planetary waves as well as model resolution are likely major sources of uncertainty for this issue. In the Antarctic, the ozone hole has probably reached almost its deepest although the vertical and horizontal extent of depletion may increase slightly further over the next few years. According to the model results, Antarctic ozone recovery could begin any year within the range 2001 to 2008. The limited number of models which have been integrated sufficiently far indicate that full recovery of ozone to 1980 levels may not occur in the Antarctic until about the year 2050. For the Arctic, most models indicate that small ozone losses may continue for a few more years and that recovery could begin any year within the range 2004 to 2019. The start of ozone recovery in the Arctic is therefore expected to appear later than in the Antarctic. Further, interannual variability will tend to mask the signal for longer than in the Antarctic, delaying still further the date at which ozone recovery may be said to have started. Because of this inherent variability of the system, the decadal evolution of Arctic ozone will not necessarily be a direct response to external forcing.</t>
  </si>
  <si>
    <t>Meteorol Off, Bracknell RG12 2SZ, Berks, England; NASA, Goddard Inst Space Studies, New York, NY 10025 USA; York Univ, N York, ON M3J 1P3, Canada; Max Planck Inst Chem, D-55128 Mainz, Germany; DLR, Oberpfaffenhofen, Germany; Max Planck Inst Meteorol, Hamburg, Germany; Univ Tokyo, Ctr Climate Syst Res, Tokyo, Japan; NASA, Goddard Space Flight Ctr, Goddard Earth Sci &amp; Technol Ctr, Greenbelt, MD 20771 USA; Univ Aquila, Dipartimento Fis, I-67010 Coppito, Italy; IAC ETH, PMOD, WRC, CH-7260 Davos, Switzerland; Univ Toronto, Dept Phys, Toronto, ON, Canada</t>
  </si>
  <si>
    <t>Met Office - UK; National Aeronautics &amp; Space Administration (NASA); NASA Goddard Space Flight Center; Goddard Institute for Space Studies; York University - Canada; Max Planck Society; Helmholtz Association; German Aerospace Centre (DLR); Max Planck Society; University of Tokyo; National Aeronautics &amp; Space Administration (NASA); NASA Goddard Space Flight Center; University of L'Aquila; Swiss Federal Institutes of Technology Domain; ETH Zurich; University of Toronto</t>
  </si>
  <si>
    <t>Meteorol Off, London Rd, Bracknell RG12 2SZ, Berks, England.</t>
  </si>
  <si>
    <t>john.austin@metoffice.com</t>
  </si>
  <si>
    <t>Manzini, Elisa/H-5760-2011; Rozanov, Eugene/A-9857-2012; Shindell, Drew/D-4636-2012; Rozanov, Eugene/V-1881-2018; Pawson, Steven/I-1865-2014; Pitari, Giovanni/O-7458-2016; Newman, Paul A./D-6208-2012</t>
  </si>
  <si>
    <t>Rozanov, Eugene/0000-0003-0479-4488; Shindell, Drew/0000-0003-1552-4715; Rozanov, Eugene/0000-0003-0479-4488; Schnadt Poberaj, Christina/0009-0007-6283-1044; Pitari, Giovanni/0000-0001-7051-9578; Dameris, Martin/0000-0001-6700-0628; Newman, Paul A./0000-0003-1139-2508</t>
  </si>
  <si>
    <t>JAN 9</t>
  </si>
  <si>
    <t>10.5194/acp-3-1-2003</t>
  </si>
  <si>
    <t>634FP</t>
  </si>
  <si>
    <t>Green Submitted, Green Published, Green Accepted, gold</t>
  </si>
  <si>
    <t>WOS:000180329600001</t>
  </si>
  <si>
    <t>Visser, K; Thunell, R; Stott, L</t>
  </si>
  <si>
    <t>Magnitude and timing of temperature change in the Indo-Pacific warm pool during deglaciation</t>
  </si>
  <si>
    <t>CLIMATE-CHANGE; TROPICAL PACIFIC; NORTH-ATLANTIC; OCEAN; ANTARCTICA; WATERS; CO2</t>
  </si>
  <si>
    <t>Ocean-atmosphere interactions in the tropical Pacific region have a strong influence on global heat and water vapour transport and thus constitute an important component of the climate system(1,2). Changes in sea surface temperatures and convection in the tropical Indo-Pacific region are thought to be responsible for the interannual to decadal climate variability observed in extratropical regions(1,3), but the role of the tropics in climate changes on millennial and orbital timescales is less clear. Here we analyse oxygen isotopes and Mg/Ca ratios of foraminiferal shells from the Makassar strait in the heart of the Indo-Pacific warm pool, to obtain synchronous estimates of sea surface temperatures and ice volume. We find that sea surface temperatures increased by 3.5-4.0 degreesC during the last two glacial-interglacial transitions, synchronous with the global increase in atmospheric CO2 and Antarctic warming, but the temperature increase occurred 2,000-3,000 years before the Northern Hemisphere ice sheets melted. Our observations suggest that the tropical Pacific region plays an important role in driving glacial-interglacial cycles, possibly through a system similar to how El Nino/Southern Oscillation regulates the poleward flux of heat and water vapour.</t>
  </si>
  <si>
    <t>Univ S Carolina, Dept Geol Sci, Columbia, SC 29205 USA; Univ So Calif, Dept Earth Sci, Los Angeles, CA 90089 USA</t>
  </si>
  <si>
    <t>University of South Carolina System; University of South Carolina Columbia; University of Southern California</t>
  </si>
  <si>
    <t>Thunell, R (corresponding author), Univ S Carolina, Dept Geol Sci, Columbia, SC 29205 USA.</t>
  </si>
  <si>
    <t>Ackerman, Kate/0000-0003-3925-721X</t>
  </si>
  <si>
    <t>10.1038/nature01297</t>
  </si>
  <si>
    <t>633DR</t>
  </si>
  <si>
    <t>WOS:000180267200036</t>
  </si>
  <si>
    <t>Tziperman, E; Gildor, H</t>
  </si>
  <si>
    <t>On the mid-Pleistocene transition to 100-kyr glacial cycles and the asymmetry between glaciation and deglaciation times</t>
  </si>
  <si>
    <t>climate dynamics; glacial cycles; mid-Pleistocene transition; 100 kyr; 41 kyr</t>
  </si>
  <si>
    <t>ICE-SHEET MODEL; MIDPLEISTOCENE CLIMATE TRANSITION; CO2 VARIATIONS; ANTARCTIC ICE; SEA-ICE; GREENLAND; ATLANTIC; RECORD; CIRCULATION; TEMPERATURE</t>
  </si>
  <si>
    <t>A mechanism is proposed for the mid-Pleistocene transition from a dominant periodicity of 41 kyr to 100 kyr in glacial oscillations. The same mechanism is shown to also explain the asymmetry between the long glaciation and short deglaciation phases of each cycle since that transition versus the symmetry of the 41-kyr oscillations prior to the transition. These features arise naturally within the framework of the sea-ice switch glacial cycle mechanism of Gildor and Tziperman [2000] as a result of the gradual cooling of the deep ocean during the Pleistocene. This cooling results in a change of the relation between atmospheric temperature and the rates of accumulation and ablation of continentals ice sheets. It is this latter change that leads to the activation of the sea-ice switch and therefore to the initiation of the 100-kyr oscillations. The gradual glaciation and rapid deglaciations during these oscillations occur because the mean value of the ice sheet ablation is not far from the maximum rate of snow accumulation during warm periods. This proximity of mean ablation and maximum accumulation rates is shown to be also a consequence of the mid-Pleistocene gradual cooling of the deep ocean.</t>
  </si>
  <si>
    <t>Weizmann Inst Sci, IL-76100 Rehovot, Israel</t>
  </si>
  <si>
    <t>Weizmann Institute of Science</t>
  </si>
  <si>
    <t>Tziperman, E (corresponding author), Weizmann Inst Sci, IL-76100 Rehovot, Israel.</t>
  </si>
  <si>
    <t>Gildor, Hezi/AAZ-6602-2021; Tziperman, Eli/A-1219-2008</t>
  </si>
  <si>
    <t>Gildor, Hezi/0000-0003-0898-6292;</t>
  </si>
  <si>
    <t>10.1029/2001PA000627</t>
  </si>
  <si>
    <t>655QM</t>
  </si>
  <si>
    <t>WOS:000181564100001</t>
  </si>
  <si>
    <t>Doran, PT; Fritsen, CH; McKay, CP; Priscu, JC; Adams, EE</t>
  </si>
  <si>
    <t>Formation and character of an ancient 19-m ice cover and underlying trapped brine in an ice-sealed east Antarctic lake</t>
  </si>
  <si>
    <t>MCMURDO DRY VALLEYS; HOARE; TEMPERATURE; OASIS; LIFE</t>
  </si>
  <si>
    <t>Lake Vida, one of the largest lakes in the McMurdo Dry Valleys of Antarctica, was previously believed to be shallow (&lt;10 m) and frozen to its bed year-round. New ice-core analysis and temperature data show that beneath 19 m of ice is a water column composed of a NaCl brine with a salinity seven times that of seawater that remains liquid below -10degreesC. The ice cover thickens at both its base and surface, sealing concentrated brine beneath. The ice cover is stabilized by a negative feedback between ice growth and the freezing-point depression of the brine. The ice cover contains frozen microbial mats throughout that are viable after thawing and has a history that extends to at least 2,800 C-14 years B.P., suggesting that the brine has been isolated from the atmosphere for as long. To our knowledge, Lake Vida has the thickest subaerial lake ice cover recorded and may represent a previously undiscovered end-member lacustrine ecosystem on Earth.</t>
  </si>
  <si>
    <t>Univ Illinois, Dept Earth &amp; Environm Sci, Chicago, IL 60607 USA; Desert Res Inst, Div Earth &amp; Ecosyst Sci, Reno, NV 89512 USA; NASA, Ames Res Ctr, Div Space Sci, Moffett Field, CA 94035 USA; Montana State Univ, Bozeman, MT 59717 USA; Montana State Univ, Dept Civil Engn, Bozeman, MT 59717 USA</t>
  </si>
  <si>
    <t>University of Illinois System; University of Illinois Chicago; University of Illinois Chicago Hospital; Nevada System of Higher Education (NSHE); Desert Research Institute NSHE; National Aeronautics &amp; Space Administration (NASA); NASA Ames Research Center; Montana State University System; Montana State University Bozeman; Montana State University System; Montana State University Bozeman</t>
  </si>
  <si>
    <t>Doran, PT (corresponding author), Univ Illinois, Dept Earth &amp; Environm Sci, 845 W Taylor St,MS 186, Chicago, IL 60607 USA.</t>
  </si>
  <si>
    <t>McKay, Christopher/0000-0002-6243-1362</t>
  </si>
  <si>
    <t>JAN 7</t>
  </si>
  <si>
    <t>10.1073/pnas.222680999</t>
  </si>
  <si>
    <t>633WG</t>
  </si>
  <si>
    <t>WOS:000180307100007</t>
  </si>
  <si>
    <t>Simmonds, I</t>
  </si>
  <si>
    <t>Modes of atmospheric variability over the Southern Ocean</t>
  </si>
  <si>
    <t>Antarctic circumpolar wave; semiannual oscillation; cyclones; Southern Hemisphere climate; Southern Hemisphere variability; Antarctic sea ice</t>
  </si>
  <si>
    <t>ANTARCTIC CIRCUMPOLAR WAVE; EXTRATROPICAL CYCLONE BEHAVIOR; SEA-LEVEL PRESSURE; HALF-YEARLY CYCLE; SEMIANNUAL OSCILLATION; ANNULAR MODES; SOLAR-CYCLE; INTERANNUAL VARIABILITY; HEMISPHERE CIRCULATION; FREQUENCY VARIABILITY</t>
  </si>
  <si>
    <t>[1] The atmosphere over the Southern Ocean (SO) has been historically very poorly observed. Until fairly recently, the climate means of important parameters were known only imperfectly. In the modern era, new sources of data, particularly a wide range of products to come from remote sensing, have alleviated this problem. In addition to these developments, the advent of data assimilation'' and the conduct of reanalyses'' now means that available data may be used in optimal'' ways to obtain meteorological analyses of a quality not available heretofore. This solid base means that we are now for the first time able to confidently document and understand the rich variety of modes of variability over the region. In this paper, we examine aspects of SO atmospheric variability and focus particularly on those associated with the mean sea level pressure (MSLP) in the 40-year National Centers for Environmental Prediction (NCEP) reanalysis. Discussion is devoted to many aspects of the behavior of cyclonic systems over the Ocean and the variabilities and trends shown in these. Of the variabilities also explored here are those associated with the high-latitude mode, the semiannual oscillation (SAO), and the Antarctic circumpolar wave (ACW). A wide range of physical processes drives these features and their variability and we investigate some of these here.</t>
  </si>
  <si>
    <t>Univ Melbourne, Sch Earth Sci, Parkville, Vic 3052, Australia</t>
  </si>
  <si>
    <t>Univ Melbourne, Sch Earth Sci, Parkville, Vic 3052, Australia.</t>
  </si>
  <si>
    <t>Simmonds, Ian/0000-0002-4479-3255</t>
  </si>
  <si>
    <t>JAN 4</t>
  </si>
  <si>
    <t>10.1029/2000JC000542</t>
  </si>
  <si>
    <t>654MU</t>
  </si>
  <si>
    <t>WOS:000181501300002</t>
  </si>
  <si>
    <t>Stammer, D; Wunsch, C; Giering, R; Eckert, C; Heimbach, P; Marotzke, J; Adcroft, A; Hill, CN; Marshall, J</t>
  </si>
  <si>
    <t>Volume, heat, and freshwater transports of the global ocean circulation 1993-2000, estimated from a general circulation model constrained by World Ocean Circulation Experiment (WOCE) data</t>
  </si>
  <si>
    <t>ocean circulation; data assimilation; heat transport; surface fluxes; ocean reanalysis</t>
  </si>
  <si>
    <t>ANTARCTIC CIRCUMPOLAR CURRENT; DATA ASSIMILATION ANALYSIS; SOUTH-ATLANTIC; WATER; VARIABILITY; EXCHANGE; PASSAGE; SYSTEM; FLUXES</t>
  </si>
  <si>
    <t>An analysis of ocean volume, heat, and freshwater transports from a fully constrained general circulation model (GCM) is described. Output from a data synthesis, or state estimation, method is used by which the model was forced to large-scale, time-varying global ocean data sets over 1993 through 2000. Time-mean horizontal transports, estimated from this fully time-dependent circulation, have converged with independent time-independent estimates from box inversions over most parts of the world ocean but especially in the southern hemisphere. However, heat transport estimates differ substantially in the North Atlantic where our estimates result in only 1/2 previous results. The models drift over the estimation period is consistent with observations from TOPEX/Poseidon in their spatial pattern, but smaller in their amplitudes by about a factor of 2. Associated temperature and salinity changes are complex, and both point toward air-sea interaction over water mass formation regions as the primary source for changes in the deep ocean. The estimated mean circulation around Australia involves a net volume transport of 11 Sv through the Indonesian Throughflow and the Mozambique Channel. In addition, we show that this flow regime exists on all timescales above 1 month, rendering the variability in the South Pacific strongly coupled to the Indian Ocean. Moreover, the dynamically consistent variations in the model show temporal variability of oceanic heat transports, heat storage, and atmospheric exchanges that are complex and with a strong dependence upon location, depth, and timescale. Our results demonstrate the great potential of an ocean state estimation system to provide a dynamical description of the time-dependent observed heat transport and heat content changes and their relation to air-sea interactions.</t>
  </si>
  <si>
    <t>Univ Calif San Diego, Scripps Inst Oceanog, Phys Oceanog Res Div, La Jolla, CA 92093 USA; MIT, Cambridge, MA 02139 USA; GBR, FastOpt, Hamburg, Germany; Univ Southampton, Southampton Oceanog Ctr, Southampton S014 32H, Hants, England</t>
  </si>
  <si>
    <t>University of California System; University of California San Diego; Scripps Institution of Oceanography; Massachusetts Institute of Technology (MIT); NERC National Oceanography Centre; University of Southampton</t>
  </si>
  <si>
    <t>Univ Calif San Diego, Scripps Inst Oceanog, Phys Oceanog Res Div, Room 407,8605 La Jolla Shores Dr, La Jolla, CA 92093 USA.</t>
  </si>
  <si>
    <t>dstammer@ucsd.edu</t>
  </si>
  <si>
    <t>Adcroft, Alistair/E-5949-2010; Heimbach, Patrick/K-3530-2013</t>
  </si>
  <si>
    <t>Adcroft, Alistair/0000-0001-9413-1017; Heimbach, Patrick/0000-0003-3925-6161</t>
  </si>
  <si>
    <t>C1</t>
  </si>
  <si>
    <t>10.1029/2001JC001115</t>
  </si>
  <si>
    <t>654MQ</t>
  </si>
  <si>
    <t>Green Accepted, Bronze, Green Published</t>
  </si>
  <si>
    <t>WOS:000181501000002</t>
  </si>
  <si>
    <t>Vera, C</t>
  </si>
  <si>
    <t>Interannual and interdecadal variability of atmospheric synoptic-scale activity in the Southern Hemisphere</t>
  </si>
  <si>
    <t>EXTRATROPICAL CYCLONE BEHAVIOR; CLIMATE VARIABILITY; CIRCULATION; PACIFIC; WINTER; FREQUENCY; AMERICA; ENSO; PREDICTABILITY; OSCILLATION</t>
  </si>
  <si>
    <t>[1] A rotated empirical orthogonal function analysis was applied to anomalies of July atmospheric short time scale variability (or storm tracks) over the Southern Hemisphere (SH) using NCEP reanalyses. The study reveals the existence of two leading modes of storm-track variations, the first one describing storm-track changes along the subtropical Pacific and the second one associated with variations over southeast Pacific Ocean. The principal components of both modes exhibit significant variability on interannual (2-7 years) and interdecadal (longer than 7 years) time scales. The interannual variation of the first mode is closely linked to ENSO variability. The corresponding signal on SST anomalies shows a conspicuous maximum over central equatorial Pacific, while the signature on geopotential-height anomalies shows the typical Pacific South America pattern characterized by a Rossby wave train propagating poleward from the tropics. On interdecadal time scales, the first mode is related to SST anomalies over the subtropical portions of the Pacific, Atlantic, and Indian Oceans and to a Rossby wave train with strongest signals over the southeast Pacific and the Antarctic Peninsula. The second mode that represents storm-track changes west of the Antarctic Peninsula is related on interannual time scales to SST anomalies over western Pacific between 40degreesS and 20degreesS, while on interdecadal time scales, it does not seem to be significantly related to SST changes in any of the basins. In particular, the spatial signature of the REOF2 interdecadal variability on the SH circulation corresponds to the well-known high latitude mode characterized by a monopole over the Antarctica and a three-wave pattern at middle latitudes.</t>
  </si>
  <si>
    <t>Univ Buenos Aires, CONICET, Dept Atmospher &amp; Ocean Sci, CIMA, RA-1428 Buenos Aires, DF, Argentina</t>
  </si>
  <si>
    <t>University of Buenos Aires; Consejo Nacional de Investigaciones Cientificas y Tecnicas (CONICET)</t>
  </si>
  <si>
    <t>Univ Buenos Aires, CONICET, Dept Atmospher &amp; Ocean Sci, CIMA, Pab 2,2do Piso,Ciudad Univ, RA-1428 Buenos Aires, DF, Argentina.</t>
  </si>
  <si>
    <t>carolina@at1.fcen.uba.ar</t>
  </si>
  <si>
    <t>Vera, Carolina/0000-0003-4032-5232</t>
  </si>
  <si>
    <t>10.1029/2000JC000406</t>
  </si>
  <si>
    <t>WOS:000181501300001</t>
  </si>
  <si>
    <t>Ribera, P; Mann, ME</t>
  </si>
  <si>
    <t>ENSO related variability in the Southern Hemisphere, 1948-2000</t>
  </si>
  <si>
    <t>ANTARCTIC CIRCUMPOLAR WAVE; SEA-ICE; FREQUENCY VARIABILITY; PACIFIC; CLIMATE; SURFACE; TEMPERATURE; OSCILLATIONS; REANALYSIS; ATMOSPHERE</t>
  </si>
  <si>
    <t>The spatiotemporal evolution of Southern Hemisphere climate variability is diagnosed based on the use of the NCEP reanalysis (1948-2000) dataset. Using the MTM-SVD analysis method, significant narrowband variability is isolated from the multi-variate dataset. It is found that the ENSO signal exhibits statistically significant behavior at quasiquadrennial (3-6 yr) timescales for the full time-period. A significant quasibiennial (2-3 yr) timescales emerges only for the latter half of period. Analyses of the spatial evolution of the two reconstructed signals shed additional light on linkages between low and high-latitude Southern Hemisphere climate anomalies.</t>
  </si>
  <si>
    <t>Univ Pablo Olavide, Dept Ciencias Ambientales, Seville 41013, Spain; Univ Virginia, Dept Environm Sci, Charlottesville, VA 22903 USA</t>
  </si>
  <si>
    <t>Universidad Pablo de Olavide; University of Virginia</t>
  </si>
  <si>
    <t>Ribera, P (corresponding author), Univ Pablo Olavide, Dept Ciencias Ambientales, Carretera Utera,Km 1, Seville 41013, Spain.</t>
  </si>
  <si>
    <t>Mann, Michael E/B-8472-2017; Ribera, Pedro/K-4479-2014</t>
  </si>
  <si>
    <t>Mann, Michael E/0000-0003-3067-296X; Ribera, Pedro/0000-0002-6432-1554</t>
  </si>
  <si>
    <t>JAN 3</t>
  </si>
  <si>
    <t>10.1029/2002GL015818</t>
  </si>
  <si>
    <t>654KD</t>
  </si>
  <si>
    <t>WOS:000181495000003</t>
  </si>
  <si>
    <t>Stone, JO; Balco, GA; Sugden, DE; Caffee, MW; Sass, LC; Cowdery, SG; Siddoway, C</t>
  </si>
  <si>
    <t>Holocene deglaciation of Marie Byrd Land, West Antarctica</t>
  </si>
  <si>
    <t>LAST GLACIAL MAXIMUM; SEA-LEVEL CHANGE; ICE-SHEET; PAST; EARTH</t>
  </si>
  <si>
    <t>Surface exposure ages of glacial deposits in the Ford Ranges of western Marie Byrd Land indicate continuous thinning of the West Antarctic Ice Sheet by more than 700 meters near the coast throughout the past 10,000 years. Deglaciation lagged the disappearance of ice sheets in the Northern Hemisphere by thousands of years and may still be under way. These results provide further evidence that parts of the West Antarctic Ice Sheet are on a long-term trajectory of decline. West Antarctic melting contributed water to the oceans in the late Holocene and may continue to do so in the future.</t>
  </si>
  <si>
    <t>Univ Washington, Quaternary Res Ctr, Seattle, WA 98195 USA; Univ Washington, Dept Earth &amp; Space Sci, Seattle, WA 98195 USA; Univ Edinburgh, Dept Geog, Edinburgh EH8 9XP, Midlothian, Scotland; L397 Lawrence Livermore Natl Lab, Ctr Accelerator Mass Spectrometry, Livermore, CA 94550 USA; Colorado Coll, Dept Geol, Colorado Springs, CO 80903 USA</t>
  </si>
  <si>
    <t>University of Washington; University of Washington Seattle; University of Washington; University of Washington Seattle; University of Edinburgh; United States Department of Energy (DOE); Lawrence Livermore National Laboratory; Colorado College</t>
  </si>
  <si>
    <t>Stone, JO (corresponding author), Univ Washington, Quaternary Res Ctr, Box 351360, Seattle, WA 98195 USA.</t>
  </si>
  <si>
    <t>Siddoway, Christine/HKV-0895-2023</t>
  </si>
  <si>
    <t>Sass, Louis/0000-0003-4677-029X; Cowdery, Seth/0000-0002-7068-6998; Siddoway, Christine Smith/0000-0003-0478-6138</t>
  </si>
  <si>
    <t>10.1126/science.1077998</t>
  </si>
  <si>
    <t>631JZ</t>
  </si>
  <si>
    <t>WOS:000180165800041</t>
  </si>
  <si>
    <t>C</t>
  </si>
  <si>
    <t>Karsten, R</t>
  </si>
  <si>
    <t>ams</t>
  </si>
  <si>
    <t>The role of eddy fluxes in the dynamics of the Antarctic circumpolar current</t>
  </si>
  <si>
    <t>14TH CONFERENCE ON ATMOSPHERIC AND OCEANIC FLUID DYNAMICS</t>
  </si>
  <si>
    <t>Proceedings Paper</t>
  </si>
  <si>
    <t>14th Conference on Atmospheric and Oceanic Fluid Dynamics</t>
  </si>
  <si>
    <t>JUN 09-13, 2003</t>
  </si>
  <si>
    <t>SAN ANTONIO, TX</t>
  </si>
  <si>
    <t>ACC</t>
  </si>
  <si>
    <t>Acadia Univ, Dept Math &amp; Stat, Wolfville, NS B4P 2R6, Canada</t>
  </si>
  <si>
    <t>Acadia University</t>
  </si>
  <si>
    <t>Karsten, R (corresponding author), Acadia Univ, Dept Math &amp; Stat, Wolfville, NS B4P 2R6, Canada.</t>
  </si>
  <si>
    <t>AMER METEOROLOGICAL SOCIETY</t>
  </si>
  <si>
    <t>45 BEACON ST, BOSTON, MA 02108 USA</t>
  </si>
  <si>
    <t>Conference Proceedings Citation Index - Science (CPCI-S)</t>
  </si>
  <si>
    <t>BBB59</t>
  </si>
  <si>
    <t>WOS:000224565100053</t>
  </si>
  <si>
    <t>Jones, GOL; Hoppe, UP</t>
  </si>
  <si>
    <t>Warmbein, B</t>
  </si>
  <si>
    <t>High-resolution vertical velocity studies within PMSE using EISCAT</t>
  </si>
  <si>
    <t>16TH ESA SYMPOSIUM ON EUROPEAN ROCKET AND BALLOON PROGRAMMES AND RELATED RESEARCH, PROCEEDINGS</t>
  </si>
  <si>
    <t>ESA SPECIAL PUBLICATIONS</t>
  </si>
  <si>
    <t>16th ESA Symposium on European Rocket and Balloon Programmes and Related Research</t>
  </si>
  <si>
    <t>JUN 02-05, 2003</t>
  </si>
  <si>
    <t>ST GALLEN, SWITZERLAND</t>
  </si>
  <si>
    <t>MESOSPHERE SUMMER ECHOES; SCATTER VHF RADAR; MHZ RADAR; MIDDLE-ATMOSPHERE; MOTION FIELD; MESOPAUSE; REGION; MODEL</t>
  </si>
  <si>
    <t>During the summers of 2001 and 2002, we used the EISCAT VHF radar at 69degreesN to study Polar Mesosphere Summer Echoes (PMSE). The observations include high-resolution measurements of vertical motions in the upper mesosphere. The strong radar echoes of PMSE create an ideal tracer for monitoring small-scale upward and downward movements within the PMSE layer between 82 and 92 km. The new D-LAYER-V experiment, designed specifically for mesospheric studies at EISCAT, provides extremely accurate measurements of the vertical velocity with a resolution of better than 0.1 ms(-1) at 5 second integration. The importance of making such accurate observations of mesospheric dynamics will be illustrated using examples of the many and varied gravity wave periods observed. The relationship between the vertical motion, the strength of PMSE, and the ionisation in the background D-region will also be discussed.</t>
  </si>
  <si>
    <t>Jones, GOL (corresponding author), British Antarctic Survey, Madingley Rd, Cambridge CB3 0ET, England.</t>
  </si>
  <si>
    <t>Hoppe, Ulf-Peter/AAB-6285-2022</t>
  </si>
  <si>
    <t>Hoppe, Ulf-Peter/0000-0002-2911-5835</t>
  </si>
  <si>
    <t>ESA PUBLICATIONS DIVISION C/O ESTEC</t>
  </si>
  <si>
    <t>2200 AG NOORDWIJK</t>
  </si>
  <si>
    <t>PO BOX 299, 2200 AG NOORDWIJK, NETHERLANDS</t>
  </si>
  <si>
    <t>0379-6566</t>
  </si>
  <si>
    <t>92-9092-840-9</t>
  </si>
  <si>
    <t>ESA SP PUBL</t>
  </si>
  <si>
    <t>Engineering, Aerospace; Instruments &amp; Instrumentation; Meteorology &amp; Atmospheric Sciences</t>
  </si>
  <si>
    <t>Engineering; Instruments &amp; Instrumentation; Meteorology &amp; Atmospheric Sciences</t>
  </si>
  <si>
    <t>BX97A</t>
  </si>
  <si>
    <t>WOS:000187062200051</t>
  </si>
  <si>
    <t>Wang, P; Richter, A; Bruns, M; Burrows, JP; Heue, KP; Pundt, I; Wagner, T; Platt, U</t>
  </si>
  <si>
    <t>Amaxdoas measurements and first results for the euplex campaign</t>
  </si>
  <si>
    <t>ABSORPTION CROSS-SECTIONS; STRATOSPHERIC OCLO MEASUREMENTS; POOR QUANTITATIVE INDICATOR; SENSING REFERENCE DATA; 231-794 NM RANGE; CHLORINE ACTIVATION; COLUMN ABUNDANCES; OZONE EXPERIMENT; ANTARCTIC OZONE; TEMPERATURE</t>
  </si>
  <si>
    <t>The AMAXDOAS instrument on the DLR Falcon participated in the EUPLEX campaign in January and February 2003. The AMAXDOAS instrument is a UV/visible spectrometer observing scattered light in four different directions: zenith, nadir, off-axis above and off-axis below. From the spectra, vertical columns can be retrieved for several trace gases including OClO, NO2, and O-3 using the well known DOAS (Differential Optical Absorption Spectroscopy) method. In this paper, instrument and data analysis are described. Slant columns for OClO are presented as first results and discussed in view to chlorine activation in the polar vortex. The results are also compared with data from the satellite instruments GOME and SCIAMACHY.</t>
  </si>
  <si>
    <t>Wang, P (corresponding author), Univ Bremen, Inst Environm Phys, POB 330440, D-28334 Bremen, Germany.</t>
  </si>
  <si>
    <t>Burrows, John Philip/AAF-8468-2019; Richter, Andreas/C-4971-2008</t>
  </si>
  <si>
    <t>Burrows, John Philip/0000-0002-6821-5580; Richter, Andreas/0000-0003-3339-212X</t>
  </si>
  <si>
    <t>WOS:000187062200087</t>
  </si>
  <si>
    <t>Antonov, RA; Sysoeva, TI; Titov, VY; Chernikov, SP</t>
  </si>
  <si>
    <t>Balloon research in antarctic region</t>
  </si>
  <si>
    <t>Lebedev State Phys Inst, Moscow, Russia</t>
  </si>
  <si>
    <t>Antonov, RA (corresponding author), Lebedev State Phys Inst, Moscow, Russia.</t>
  </si>
  <si>
    <t>Antonov, Rem/H-4286-2013</t>
  </si>
  <si>
    <t>WOS:000187062200101</t>
  </si>
  <si>
    <t>Trullols, E; del Río, J; Sorribas, J; Samitier, C; Mánuel, A</t>
  </si>
  <si>
    <t>Callaos, N; DiSciullo, AM; Ohta, T; Liu, TK</t>
  </si>
  <si>
    <t>A virtual real time distributed laboratory</t>
  </si>
  <si>
    <t>7TH WORLD MULTICONFERENCE ON SYSTEMICS, CYBERNETICS AND INFORMATICS, VOL I, PROCEEDINGS: INFORMATION SYSTEMS, TECHNOLOGIES AND APPLICATIONS</t>
  </si>
  <si>
    <t>7th World Multiconference on Systemics, Cybernetics and Informatics</t>
  </si>
  <si>
    <t>JUL 27-30, 2003</t>
  </si>
  <si>
    <t>ORLANDO, FL</t>
  </si>
  <si>
    <t>virtual measurements; CORBA; Java; UML; XML; mobile agents; marine research; Web services</t>
  </si>
  <si>
    <t>A virtual real time distributed laboratory for the acquisition and processing of oceanographic data is described. This virtual laboratory will be implemented in the Spanish oceanographic vessels and in the Spanish Antarctic's base in the next years. The project, named LabVir, involves several technologies as information (hardware and software), communications, telematics and also electronics. It is carried out by a multidisciplinary team of engineers, physicists, mathematics, geologists, biologists and informatics.</t>
  </si>
  <si>
    <t>Tech Univ Catalonia, Barcelona 08800, Spain</t>
  </si>
  <si>
    <t>Universitat Politecnica de Catalunya</t>
  </si>
  <si>
    <t>Tech Univ Catalonia, Av Victor Balaguer S-N, Barcelona 08800, Spain.</t>
  </si>
  <si>
    <t>Trullols, Enric/ABG-3475-2020; Mànuel, Antoni/N-7537-2017; del Rio, Joaquin/K-8251-2014</t>
  </si>
  <si>
    <t>del Rio, Joaquin/0000-0002-6191-2201</t>
  </si>
  <si>
    <t>INT INST INFORMATICS &amp; SYSTEMICS</t>
  </si>
  <si>
    <t>ORLANDO</t>
  </si>
  <si>
    <t>14269 LORD BARCLAY DR, ORLANDO, FL 32837 USA</t>
  </si>
  <si>
    <t>980-6560-01-9</t>
  </si>
  <si>
    <t>Computer Science, Information Systems</t>
  </si>
  <si>
    <t>Computer Science</t>
  </si>
  <si>
    <t>BY46R</t>
  </si>
  <si>
    <t>WOS:000189328300054</t>
  </si>
  <si>
    <t>Qiu, YS; Min, C; Huang, YP; Liu, GS</t>
  </si>
  <si>
    <t>Distribution of dissolved organic carbon in and near the Prydz Bay, Antarctica</t>
  </si>
  <si>
    <t>ACTA OCEANOLOGICA SINICA</t>
  </si>
  <si>
    <t>The Prydz Bay; Antarctica; dissolved organic carbon</t>
  </si>
  <si>
    <t>EQUATORIAL PACIFIC-OCEAN; SOUTHERN-OCEAN; SARGASSO SEA; ARCTIC-OCEAN; MATTER</t>
  </si>
  <si>
    <t>During the 16th Chinese National Antarctic Research Expedition (CHINARE) (from November 1999 to April 2000) seawater samples were collected for (DOC) determination in the Prydz Bay and its nearby sea areas. DOC concentrations were determined-by high temperature catalytic oxidation (HTCO) method. The results shows that DOC concentrations, in the upper water column (0 similar to 100 in) range from 14.3 to 181.1 mumol/dm(3), with averaging 52.5 mumol/dm(3) (n = 55). These values are slightly higher than those reported for the Ross Sea, the Pacific Ocean and others. Profiles of DOC concentration in the study areas show a decreasing concentration with increasing depth in the upper 100 m, which is related to biological activities in the water column. DOC concentrations below 100 in are relatively constant with a mean of 40.4 gammamol/dm(3). These DOC are unactive for physical and biological activities and are called refractory DOC. Concentration of the refractory DOC in the study area is consistent with the previous reported values for the Southern Ocean, which is about 41 mumol/dm(3). Based on the difference between the measured DOC concentration and the refractory concentration, the excess DOC concentration in the upper column can be calculated at every station. The excess DOC shows a spatial variability with a higher excess in the north of 64degreesS and little excess in the south of 64degreesS. In conclusion, DOC concentrations in the Prydz Bay and its nearby sea areas,are, consistent with the previous reported values in the Southern Ocean, which show a low DOC concentration with respect to the other oceans. Distribution of surface DOC concentrations in the study areas shows an increase from the southwestern to the northeastern, which is ascribed to the northern spread of continental shelf water from the Prydz Bay in summer. Contents of DOC and their distribution in the Prydz Bay and its nearby sea areas are mainly controlled by physical and biological processes.</t>
  </si>
  <si>
    <t>Xiamen Univ, Dept Oceanog, Xiamen 361005, Peoples R China</t>
  </si>
  <si>
    <t>Xiamen University</t>
  </si>
  <si>
    <t>Qiu, YS (corresponding author), Xiamen Univ, Dept Oceanog, Xiamen 361005, Peoples R China.</t>
  </si>
  <si>
    <t>Huang, YP/G-3354-2010; Chen, Min/B-7763-2012; Liu, GS/G-4637-2010</t>
  </si>
  <si>
    <t>Chen, Min/0000-0003-0369-694X;</t>
  </si>
  <si>
    <t>CHINA OCEAN PRESS</t>
  </si>
  <si>
    <t>INTERNATIONAL DEPT, 8 DA HUI SHI, BEIJING 100081, PEOPLES R CHINA</t>
  </si>
  <si>
    <t>0253-505X</t>
  </si>
  <si>
    <t>ACTA OCEANOL SIN</t>
  </si>
  <si>
    <t>Acta Oceanol. Sin.</t>
  </si>
  <si>
    <t>759DD</t>
  </si>
  <si>
    <t>WOS:000187722300006</t>
  </si>
  <si>
    <t>Bianco, R; Al-Halabi, A; Hynes, JT</t>
  </si>
  <si>
    <t>Maruani, J; LeFebvre, R; Brandas, EJ</t>
  </si>
  <si>
    <t>Theoretical studies of heterogeneous reactions important in atmospheric ozone depletion</t>
  </si>
  <si>
    <t>ADVANCED TOPICS IN THEORETICAL CHEMICAL PHYSICS</t>
  </si>
  <si>
    <t>Progress in Theoretical Chemistry and Physics</t>
  </si>
  <si>
    <t>4th Congress of the International-Society-for-Theoretical-Chemical-Physics (ICTCP 4)</t>
  </si>
  <si>
    <t>JUL 09-16, 2002</t>
  </si>
  <si>
    <t>Natl Youth Inst, Marly Le Roi, FRANCE</t>
  </si>
  <si>
    <t>Natl Youth Inst</t>
  </si>
  <si>
    <t>MOLECULAR-DYNAMICS SIMULATION; HYDROCHLORIC-ACID IONIZATION; AB-INITIO MODEL; CHLORINE NITRATE; WATER CLUSTERS; SULFURIC-ACID; ICE SURFACES; SN2 REACTION; HBR UPTAKE; HCL</t>
  </si>
  <si>
    <t>A short review is given here of some highlights of the theoretical work in our group on the mechanisms of key heterogeneous reactions of importance in atmospheric ozone depletion. After a brief discussion of the reaction HCI + ClONO2 --&gt; Cl-2 + HNO3 on ice, which is central for the stratospheric Antarctic ozone hole, a variant of this reaction, in which the proton is absent, is considered: Cl- + ClONO2 --&gt; Cl-2 + NO3-. Finally, a few results are summarized on the acid ionization of HBr at the surface of ice, important for the rapid springtime ozone depletion in the Arctic tropospheric boundary layer.</t>
  </si>
  <si>
    <t>Univ Colorado, Dept Chem &amp; Biochem, Boulder, CO 80309 USA</t>
  </si>
  <si>
    <t>University of Colorado System; University of Colorado Boulder</t>
  </si>
  <si>
    <t>Univ Colorado, Dept Chem &amp; Biochem, Campus Box 215, Boulder, CO 80309 USA.</t>
  </si>
  <si>
    <t>roberto.bianco@colorado.edu; ayman@rulgle.leidenuniv.nl; hynes@chimie.ens.fr</t>
  </si>
  <si>
    <t>PO BOX 17, 3300 AA DORDRECHT, NETHERLANDS</t>
  </si>
  <si>
    <t>1567-7354</t>
  </si>
  <si>
    <t>1-4020-1564-X</t>
  </si>
  <si>
    <t>PROG THEOR CHEM PHYS</t>
  </si>
  <si>
    <t>Thermodynamics; Physics, Atomic, Molecular &amp; Chemical; Physics, Condensed Matter</t>
  </si>
  <si>
    <t>Thermodynamics; Physics</t>
  </si>
  <si>
    <t>BY90J</t>
  </si>
  <si>
    <t>WOS:000189491400014</t>
  </si>
  <si>
    <t>Feng, X; Guo, PW; Yu, ZH</t>
  </si>
  <si>
    <t>Influence of interannual variability of antarctic sea-ice on summer rainfall in Eastern China</t>
  </si>
  <si>
    <t>ADVANCES IN ATMOSPHERIC SCIENCES</t>
  </si>
  <si>
    <t>Antarctic sea-ice; interannual variability; summer rainfall</t>
  </si>
  <si>
    <t>Based on the Antarctic sea-ice coverage reanalysis data from the Hadley Center and other observational data during the 30-year period from 1969 to 1998, it is shown that Antarctic sea-ice coverage exhibits considerable interannual variability with a complex relation to El Nino and the South Oscillation (ENSO). Besides this, the ice maintains the seasonal persistence of the atmospheric circulation in high latitudes of the Southern Hemisphere. Thus it can be used as a predictor in short-term climate prediction. Both correlation and time series analyses demonstrate that summer rainfall in eastern China is closely related to Antarctic sea-ice coverage. When it is extended during boreal spring through summer, there is more rainfall in the lower reaches of the Yellow River of North China, and in contrast, less rainfall is found in the Zhujiang River basin of South China and Northeast China. A further analysis indicates that this rainfall pattern is related to the intensity of the East Asian summer monsoon caused by interannual variability of Antarctic sea-ice coverage.</t>
  </si>
  <si>
    <t>Chinese Acad Sci, Inst Atmospher Phys, Beijing 100029, Peoples R China; Nanjing Inst Meteorol, KLME, Nanjing 210044, Peoples R China; Nanjing Univ, Dept Atmospher Sci, Nanjing 210093, Peoples R China</t>
  </si>
  <si>
    <t>Chinese Academy of Sciences; Institute of Atmospheric Physics, CAS; Nanjing University of Information Science &amp; Technology; Nanjing University</t>
  </si>
  <si>
    <t>Feng, X (corresponding author), Chinese Acad Sci, Inst Atmospher Phys, Beijing 100029, Peoples R China.</t>
  </si>
  <si>
    <t>0256-1530</t>
  </si>
  <si>
    <t>ADV ATMOS SCI</t>
  </si>
  <si>
    <t>Adv. Atmos. Sci.</t>
  </si>
  <si>
    <t>JAN</t>
  </si>
  <si>
    <t>10.1007/BF03342053</t>
  </si>
  <si>
    <t>640EX</t>
  </si>
  <si>
    <t>WOS:000180676100009</t>
  </si>
  <si>
    <t>Hirst, AG; Roff, JC; Lampitt, RS</t>
  </si>
  <si>
    <t>Southward, AJ; Tyler, PA; Young, CM; Fuiman, LA</t>
  </si>
  <si>
    <t>A synthesis of growth rates in marine epipelagic invertebrate zooplankton</t>
  </si>
  <si>
    <t>ADVANCES IN MARINE BIOLOGY, VOL 44</t>
  </si>
  <si>
    <t>Advances in Marine Biology</t>
  </si>
  <si>
    <t>COPEPOD EGG-PRODUCTION; LONG-ISLAND SOUND; GEGENBAURI ULJANIN TUNICATA; SCYPHOMEDUSA AURELIA-AURITA; THALIA-DEMOCRATICA FORSKAL; BENGUELA UPWELLING SYSTEM; TEMPERATE EUTROPHIC INLET; TROPICAL NERITIC COPEPODS; DIEL VERTICAL MIGRATION; KRILL EUPHAUSIA-SUPERBA</t>
  </si>
  <si>
    <t>British Antarctic Survey, NERC, Cambridge CB3 0ET, England; Univ Guelph, Dept Zool, Guelph, ON N1G 2W1, Canada; Southampton Oceanog Ctr, George Deacon Div Ocean Proc, Southampton SO14 3ZH, Hants, England</t>
  </si>
  <si>
    <t>UK Research &amp; Innovation (UKRI); Natural Environment Research Council (NERC); NERC British Antarctic Survey; University of Guelph; University of Southampton; NERC National Oceanography Centre</t>
  </si>
  <si>
    <t>aghi@bas.ac.uk</t>
  </si>
  <si>
    <t>ACADEMIC PRESS LTD-ELSEVIER SCIENCE LTD</t>
  </si>
  <si>
    <t>24-28 OVAL ROAD, LONDON NW1 7DX, ENGLAND</t>
  </si>
  <si>
    <t>0065-2881</t>
  </si>
  <si>
    <t>0-12-026144-8</t>
  </si>
  <si>
    <t>ADV MAR BIOL</t>
  </si>
  <si>
    <t>Adv. Mar. Biol.</t>
  </si>
  <si>
    <t>10.1016/S0065-2881(03)44002-9</t>
  </si>
  <si>
    <t>BW99E</t>
  </si>
  <si>
    <t>WOS:000183896500001</t>
  </si>
  <si>
    <t>Rutman, M; Diaz, L; Hinrichsen, JP</t>
  </si>
  <si>
    <t>Bechtel, PJ</t>
  </si>
  <si>
    <t>Byproducts from chile and the antarctic</t>
  </si>
  <si>
    <t>ADVANCES IN SEAFOOD BYPRODUCTS, 2002 CONFERENCE PROCEEDINGS</t>
  </si>
  <si>
    <t>2nd International Seafood Byproducts Conference</t>
  </si>
  <si>
    <t>NOV 10-13, 2002</t>
  </si>
  <si>
    <t>Anchorage, AK</t>
  </si>
  <si>
    <t>Marine Biotechnol Consultant, Santiago, Chile</t>
  </si>
  <si>
    <t>Rutman, M (corresponding author), Marine Biotechnol Consultant, Santiago, Chile.</t>
  </si>
  <si>
    <t>Díaz, Luz Alexandra/IZD-5701-2023</t>
  </si>
  <si>
    <t>Díaz, Luz Alexandra/0000-0002-5211-286X</t>
  </si>
  <si>
    <t>ALASKA SEA GRANT COLL PROGRAM</t>
  </si>
  <si>
    <t>FAIRBANKS</t>
  </si>
  <si>
    <t>UNIV ALASKA FAIRBANKS PO BOX 755040, FAIRBANKS, AK 99775-5040 USA</t>
  </si>
  <si>
    <t>1-56612-082-9</t>
  </si>
  <si>
    <t>Fisheries; Food Science &amp; Technology</t>
  </si>
  <si>
    <t>BY65U</t>
  </si>
  <si>
    <t>WOS:000189431900005</t>
  </si>
  <si>
    <t>Crawford, RJM; Cooper, J; Dyer, BM; Greyling, MD; Klages, NTW; Ryan, PG; Petersen, SL; Underhill, LG; Upfold, L; Wilkinson, W; De Villiers, MS; Du Plessis, S; Du Toit, M; Leshoro, TM; Makhado, AB; Mason, MS; Merkle, D; Tshingana, D; Ward, VL; Whittington, PA</t>
  </si>
  <si>
    <t>Populations of surface-nesting seabirds at Marion Island, 1994/95-2002/03</t>
  </si>
  <si>
    <t>AFRICAN JOURNAL OF MARINE SCIENCE</t>
  </si>
  <si>
    <t>albatrosses; Crozet shag; giant petrels; kelp gul; Marion Island; penguins; population size; subantarctic skua; terns</t>
  </si>
  <si>
    <t>PRINCE-EDWARD-ISLANDS; SOUTHERN INDIAN-OCEAN; BREEDING BIOLOGY; KING PENGUINS; PYGOSCELIS-PAPUA; CLIMATE-CHANGE; FERAL CATS; ROCKHOPPER; AFRICA; GENTOO</t>
  </si>
  <si>
    <t>During the 1990s and early 2000s, populations of surface-nesting seabirds at Marion Island showed different trends, but for the majority of species numbers decreased. Reduced numbers of gentoo penguins Pygoscelis papua, eastern rockhopper penguins Eudyptes chrysocome filholi, Crozet shags Phalacrocorax [atriceps] melanogenis and probably macaroni penguins E. chrysolophus are most plausibly attributed to an altered availability of food. Decreases in numbers of dark-mantled sooty albatrosses Phoebetria fusca, light-mantled sooty albatrosses P. palpebrata, southern giant petrels Macronectes giganteus and possibly northern giant petrels M. halli may have resulted from mortality of birds in longline fisheries. However, populations of wandering Diomedea exulans and grey-headed Thalassarche chrysostoma albatrosses fluctuated around a stable level. Numbers of Subantarctic skuas Catharacta antarctica and kelp gulls Larus dominicanus breeding at Marion Island also decreased. Kerguelen Sterna virgata and Antarctic S. vittata terns remain scarce at the island. Trends for king penguins Aptenodytes patagonicus were not reliably gauged, but numbers probably remained stable or increased. There were large fluctuations in numbers of king penguin chicks surviving to the end of winter.</t>
  </si>
  <si>
    <t>Dept Environm Affairs &amp; Tourism, ZA-8012 Cape Town, South Africa; Univ Cape Town, Avian Demog Unit, ZA-7701 Rondebosch, South Africa; Univ Pretoria, Sch Biol Sci, ZA-0002 Pretoria, South Africa; Univ Port Elizabeth, Inst Environm &amp; Coastal Management, ZA-6000 Port Elizabeth, South Africa; Univ Cape Town, Percy Fitzpatrick Inst African Ornithol, ZA-7701 Rondebosch, South Africa; Dept Environm Affairs &amp; Tourism, Mar Isl M58 Team, ZA-0001 Pretoria, South Africa; Robben Isl Museum, ZA-7400 Robben Isl, South Africa; Tygerberg Hosp, ZA-7505 Tygerberg, South Africa; Western Cape Nature Conservat Board, ZA-8000 Cape Town, South Africa</t>
  </si>
  <si>
    <t>University of Cape Town; University of Pretoria; Nelson Mandela University; University of Cape Town; Tygerberg Hospital</t>
  </si>
  <si>
    <t>Crawford, RJM (corresponding author), Dept Environm Affairs &amp; Tourism, Private Bag X2, ZA-8012 Cape Town, South Africa.</t>
  </si>
  <si>
    <t>Ryan, Peter/0000-0002-3356-2056; Henley, Michelle/0000-0002-1675-7388</t>
  </si>
  <si>
    <t>DEPT ENVIRONMENTAL AFFAIRS &amp; TOURISM</t>
  </si>
  <si>
    <t>CAPE TOWN</t>
  </si>
  <si>
    <t>MARINE &amp; COASTAL MANAGEMENT, PRIVATE BAG X2, ROGGIE BAY 8012, CAPE TOWN, SOUTH AFRICA</t>
  </si>
  <si>
    <t>0257-7615</t>
  </si>
  <si>
    <t>AFR J MAR SCI</t>
  </si>
  <si>
    <t>Afr. J. Mar. Sci.</t>
  </si>
  <si>
    <t>10.2989/18142320309504032</t>
  </si>
  <si>
    <t>752VW</t>
  </si>
  <si>
    <t>WOS:000187197700038</t>
  </si>
  <si>
    <t>Bester, MN; Ryan, PG; Dyer, BM</t>
  </si>
  <si>
    <t>Population numbers of fur seals at Prince Edward Island, southern ocean</t>
  </si>
  <si>
    <t>Arctocephalus; distribution; fur seals; population increase; Prince Edward Island; subantarctic</t>
  </si>
  <si>
    <t>ARCTOCEPHALUS-TROPICALIS; MARION-ISLAND; GOUGH-ISLAND; GAZELLA; SIZES</t>
  </si>
  <si>
    <t>During the period 17-22 December 2001, the onshore distribution and the abundance of Antarctic fur seals Arctocephalus gazella and Subantarctic fur seals A. tropicalis were determined for Prince Edward Island. Two breeding colonies of Antarctic fur seals were located on the south-east coast of the island; the first a mixed (with Subantarctic fur seals) breeding colony with an estimated 24 pups on a vegetated promontory on the northern section of Boggel Beach, and the second, a presumably pure Antarctic fur seal breeding colony with an estimated 380 pups, at Penguin Beach. At a mean intrinsic rate of natural increase of 16.2% per year, Antarctic fur seals appear to be in the rapid recolonization phase of population growth. Breeding colonies of Subantarctic fur seals, largely found on the entire east coast, produced an estimated 15 000 pups, and the population had maintained a mean intrinsic rate of natural increase of some 9.5% per year since 1987/88.</t>
  </si>
  <si>
    <t>Univ Pretoria, Dept Zool &amp; Entomol, Mammal Res Inst, ZA-0002 Pretoria, South Africa; Univ Cape Town, Percy Fitzpatrick Inst African Ornithol, ZA-7701 Rondebosch, South Africa; Dept Environm Affairs &amp; Tourism, ZA-8012 Cape Town, South Africa</t>
  </si>
  <si>
    <t>University of Pretoria; University of Cape Town</t>
  </si>
  <si>
    <t>Bester, MN (corresponding author), Univ Pretoria, Dept Zool &amp; Entomol, Mammal Res Inst, ZA-0002 Pretoria, South Africa.</t>
  </si>
  <si>
    <t>Bester, Marthán N/E-5387-2010</t>
  </si>
  <si>
    <t>10.2989/18142320309504044</t>
  </si>
  <si>
    <t>WOS:000187197700050</t>
  </si>
  <si>
    <t>Medina, FA; Riccardi, AC; Ghiglione, M</t>
  </si>
  <si>
    <t>The Albian ammonite Aioloceras Whitehouse in Antarctica</t>
  </si>
  <si>
    <t>ALCHERINGA</t>
  </si>
  <si>
    <t>Antarctica; ammonites; Aioloceras; Cretaceous; Albian</t>
  </si>
  <si>
    <t>BASIN</t>
  </si>
  <si>
    <t>The first record of the Albian ammonite Aioloceras is documented from the Kotick Point Formation, James Ross Island, northern Antarctic Peninsula. The material is identified with the type species, Aioloceras argentinum (Bonarelli, 1921), previously only known from southern Patagonia. It is associated with Desmoceras sp., Anagaudryceras sp., Parasilesites sp., Rossalites sp. and Phyllopachyceras sp. On the basis of this assemblage, the presence of the Aioloceras argentinum Assemblage Zone from Patagonia, which is considered coeval to the upper lower Albian Mammillatum Superzone, is extended to Antarctica.</t>
  </si>
  <si>
    <t>Univ Buenos Aires, Fac Ciencias Exactas &amp; Nat, Dept Ciencias Geol, RA-1428 Buenos Aires, DF, Argentina; Museo La Plata, Dept Paleozool &amp; Invertebrados, La Plata, Argentina; Consejo Nacl Invest Cient &amp; Tecn, CADIC, Ctr Austral Invest Cient, RA-9410 Ushuaia, Argentina</t>
  </si>
  <si>
    <t>University of Buenos Aires; National University of La Plata; Museo La Plata; Consejo Nacional de Investigaciones Cientificas y Tecnicas (CONICET)</t>
  </si>
  <si>
    <t>Medina, FA (corresponding author), Univ Buenos Aires, Fac Ciencias Exactas &amp; Nat, Dept Ciencias Geol, Pabellon 2, RA-1428 Buenos Aires, DF, Argentina.</t>
  </si>
  <si>
    <t>Ghiglione, Matias C/A-9413-2010</t>
  </si>
  <si>
    <t>GEOLOGICAL SOCIETY AUSTRALIA INC</t>
  </si>
  <si>
    <t>SYDNEY</t>
  </si>
  <si>
    <t>701 WYNYARD HOUSE, 301 GEORGE STREET, SYDNEY, NSW 2000, AUSTRALIA</t>
  </si>
  <si>
    <t>0311-5518</t>
  </si>
  <si>
    <t>Alcheringa</t>
  </si>
  <si>
    <t>699FF</t>
  </si>
  <si>
    <t>WOS:000184045500008</t>
  </si>
  <si>
    <t>McMinn, A; Augustinus, P; Barton, C</t>
  </si>
  <si>
    <t>Diatom analysis of late Holocene sediment cores from Macquarie Harbour, Tasmania</t>
  </si>
  <si>
    <t>Macquarie harbour; diatoms; Holocene; Tasmania</t>
  </si>
  <si>
    <t>RADIOCARBON AGE CALIBRATION</t>
  </si>
  <si>
    <t>Seventy five diatom species are identified in two sediment cores from Macquarie Harbour, Tasmania. Benthic taxa are overwhelmingly dominant, although peaks in the abundance of the planktonic Ditylum brightwellii could be traced across the area. Diatom assemblages are mostly homogeneous but assemblages from the most recent samples are clearly identifiable. Biodiversities before and after the impact of the Queenstown copper-lead-zinc mine were little different. The modern diatom assemblages, which have been affected by tailings sedimentation, are clearly differentiated from older, pre-mining assemblages. However, the differences are based on differing relative abundances of diatom species rather than different communities.</t>
  </si>
  <si>
    <t>Univ Tasmania, Inst Antarctic &amp; So Ocean Studies, Hobart, Tas 7001, Australia; Univ Auckland, Dept Geol, Auckland 1, New Zealand; Univ Auckland, Dept Geog, Auckland 1, New Zealand; Australian Geol Survey Org, Geomagnetism &amp; Nat Hazards Sect, Canberra, ACT, Australia</t>
  </si>
  <si>
    <t>University of Tasmania; University of Auckland; University of Auckland; Geoscience Australia</t>
  </si>
  <si>
    <t>McMinn, Andrew/A-9910-2008; Augustinus, Paul/B-5125-2011</t>
  </si>
  <si>
    <t>Augustinus, Paul/0000-0002-1391-2151</t>
  </si>
  <si>
    <t>10.1080/03115510308619554</t>
  </si>
  <si>
    <t>WOS:000184045500013</t>
  </si>
  <si>
    <t>Aliverdiev, A; Caponero, M; Moriconi, C</t>
  </si>
  <si>
    <t>Weber, HP; Konov, VI; Graf, T</t>
  </si>
  <si>
    <t>Speckle-velocimeter for robotized vehicles</t>
  </si>
  <si>
    <t>ALT'02 INTERNATIONAL CONFERENCE ON ADVANCED LASER TECHNOLOGIES</t>
  </si>
  <si>
    <t>Proceedings of SPIE</t>
  </si>
  <si>
    <t>International Conference on Advanced Laser Technologies</t>
  </si>
  <si>
    <t>SEP 15-20, 2002</t>
  </si>
  <si>
    <t>ADELBODEN, SWITZERLAND</t>
  </si>
  <si>
    <t>robotics; velocimetry; speckle</t>
  </si>
  <si>
    <t>BLOOD-FLOW; CONTRAST; VISUALIZATION; VELOCITY</t>
  </si>
  <si>
    <t>This work is relevant to the development of a precision velocimeter for a self-powered robotic vehicle designed for operation in the Antarctic Regions. This is a crucial problem because of the difficulty to measure the velocity with appropriate accuracy under slip conditions and in the absence of reliable reference points over vast snow or ice fields. Speckle velocimetry is expected to provide fairly accurate measurements under Antarctic conditions. The results of early theoretical and experimental studies on the problem are very encouraging.</t>
  </si>
  <si>
    <t>ENEA Casaccia, Robot &amp; Informat Div, I-00060 Rome, Italy</t>
  </si>
  <si>
    <t>Aliverdiev, A (corresponding author), ENEA Casaccia, Robot &amp; Informat Div, V Anguillarese 301, I-00060 Rome, Italy.</t>
  </si>
  <si>
    <t>moriconi@casaccia.enea.it; aliverdi@mail.ru; caponero@frascati.enea.it</t>
  </si>
  <si>
    <t>Caponero, Michele Arturo/W-5525-2019; Aliverdiev, Abutrab A./J-1809-2018; Amirova, Anise/I-8789-2018</t>
  </si>
  <si>
    <t>Caponero, Michele Arturo/0000-0002-5728-3123; Amirova, Anise/0000-0001-9630-4487; Aliverdiev, Abutrab/0000-0003-1650-3633</t>
  </si>
  <si>
    <t>SPIE-INT SOC OPTICAL ENGINEERING</t>
  </si>
  <si>
    <t>BELLINGHAM</t>
  </si>
  <si>
    <t>1000 20TH ST, PO BOX 10, BELLINGHAM, WA 98227-0010 USA</t>
  </si>
  <si>
    <t>0277-786X</t>
  </si>
  <si>
    <t>1996-756X</t>
  </si>
  <si>
    <t>0-8194-5017-0</t>
  </si>
  <si>
    <t>PROC SPIE</t>
  </si>
  <si>
    <t>10.1117/12.537500</t>
  </si>
  <si>
    <t>Optics; Physics, Applied</t>
  </si>
  <si>
    <t>Optics; Physics</t>
  </si>
  <si>
    <t>BY14A</t>
  </si>
  <si>
    <t>WOS:000187880800015</t>
  </si>
  <si>
    <t>Edwards, HGM; Seaward, MRD; Attwood, SJ; Little, SJ; de Oliveira, LFC; Tretiach, M</t>
  </si>
  <si>
    <t>FT-Raman spectroscopy of lichens on dolomitic rocks: an assessment of metal oxalate formation</t>
  </si>
  <si>
    <t>ANALYST</t>
  </si>
  <si>
    <t>RENAISSANCE FRESCOES; ANTARCTIC HABITATS; GRANITE MONUMENTS; IN-SITU; ENCRUSTATIONS; BIODETERIORATION</t>
  </si>
  <si>
    <t>The FT-Raman spectra of five epilithic lichen taxa growing on dolomite and magnesium-rich carbonate rocks have been analysed and interpreted for the key molecular marker bands associated with calcium oxalate monohydrate (whewellite), calcium oxalate dihydrate (weddelite) and magnesium oxalate dihydrate. From the results, it can be concluded that the biomineral product of lichen biodeterioration involves the calcareous part of the substratum only; no trace of magnesium oxalate has been found in the Raman spectra. Two of the species, Lecanora sulfurea and Aspicilia calcarea, produce calcium oxalate monohydrate exclusively, but Dirina massiliensis f. sorediata, D. massiliensis f. massiliensis and Tephromela atra produce significant quantities of the dihydrate. An explanation is advanced for the exclusive accumulation of calcium oxalate into the lichen thallus despite the significant presence of magnesium ions.</t>
  </si>
  <si>
    <t>Univ Bradford, Dept Chem &amp; Forens Sci, Bradford BD7 1DP, W Yorkshire, England; Univ Bradford, Dept Environm Sci, Bradford BD7 1DP, W Yorkshire, England; Univ Fed Juiz de Fora, Inst Ciencias Exatas, Dept Quim, BR-36036330 Juiz De Fora, MG, Brazil; Univ Trieste, Dipartimento Biol, I-34127 Trieste, Italy</t>
  </si>
  <si>
    <t>University of Bradford; University of Bradford; Universidade Federal de Juiz de Fora; University of Trieste</t>
  </si>
  <si>
    <t>Edwards, HGM (corresponding author), Univ Bradford, Dept Chem &amp; Forens Sci, Bradford BD7 1DP, W Yorkshire, England.</t>
  </si>
  <si>
    <t>de Oliveira, L. F. C./E-4632-2013</t>
  </si>
  <si>
    <t>0003-2654</t>
  </si>
  <si>
    <t>Analyst</t>
  </si>
  <si>
    <t>10.1039/b306991p</t>
  </si>
  <si>
    <t>733LP</t>
  </si>
  <si>
    <t>WOS:000186002000003</t>
  </si>
  <si>
    <t>Gudmundsson, GH; Adalgeirsdóttir, G; Björnsson, H</t>
  </si>
  <si>
    <t>Raymond, CF</t>
  </si>
  <si>
    <t>Observational verification of predicted increase in bedrock-to-surface amplitude transfer during a glacier surge</t>
  </si>
  <si>
    <t>ANNALS OF GLACIOLOGY, VOL 36</t>
  </si>
  <si>
    <t>ANNALS OF GLACIOLOGY</t>
  </si>
  <si>
    <t>International Symposium on Fast Glacier Flow</t>
  </si>
  <si>
    <t>YAKUTAT, ALASKA</t>
  </si>
  <si>
    <t>FLOW</t>
  </si>
  <si>
    <t>The amplitude ratio between surface and bedrock topography has been predicted to depend strongly on the ratio of deformational velocity to mean basal sliding velocity. Observations made prior to and during a surge of Tungnaarjokull, Vatnajokull ice cap, Iceland, allow this prediction to be tested. During the surge, the ratio of internal deformational velocity and basal sliding (slip ratio) changed from about unity to a few hundred. The amplitude ratio changed from about 0.1 to about 0.7. This increase in amplitude ratio is in good overall agreement with predictions based on an analytical perturbation analysis for a linearly viscous medium which includes the effects of horizontal deviatoric stresses on glacier flow. An increase in amplitude ratio of this magnitude is not predicted by a similarly linearized analysis that employs the commonly used shallow-ice approximation. The strong increase in transfer amplitude observed in the surge of Tungnaarjokull is a clear illustration of the effects of horizontal stress transmission on glacier flow reported here for the first time.</t>
  </si>
  <si>
    <t>British Antarctic Survey, NERC, Cambridge CB3 0ET, England; ETH Zentrum, Versuchsanstalt Wasserbau Hydrol &amp; Glaziol, CH-8092 Zurich, Switzerland; Univ Iceland, Inst Sci, IS-107 Reykjavik, Iceland</t>
  </si>
  <si>
    <t>UK Research &amp; Innovation (UKRI); Natural Environment Research Council (NERC); NERC British Antarctic Survey; Swiss Federal Institutes of Technology Domain; ETH Zurich; University of Iceland</t>
  </si>
  <si>
    <t>Gudmundsson, GH (corresponding author), British Antarctic Survey, NERC, Madingley Rd, Cambridge CB3 0ET, England.</t>
  </si>
  <si>
    <t>Gudmundsson, Gudmundur Hilmar/F-6499-2012; Adalgeirsdottir, Gudfinna/M-3073-2015; Gudmundsson, Gudmundur Hilmar/AAU-5987-2020</t>
  </si>
  <si>
    <t>NERC [bas010002] Funding Source: UKRI; Natural Environment Research Council [bas010002] Funding Source: researchfish</t>
  </si>
  <si>
    <t>NERC(UK Research &amp; Innovation (UKRI)Natural Environment Research Council (NERC)); Natural Environment Research Council(UK Research &amp; Innovation (UKRI)Natural Environment Research Council (NERC))</t>
  </si>
  <si>
    <t>INT GLACIOLOGICAL SOC</t>
  </si>
  <si>
    <t>LENSFIELD RD, CAMBRIDGE CB2 1ER, ENGLAND</t>
  </si>
  <si>
    <t>0260-3055</t>
  </si>
  <si>
    <t>0-946417-31-8</t>
  </si>
  <si>
    <t>ANN GLACIOL</t>
  </si>
  <si>
    <t>10.3189/172756403781816248</t>
  </si>
  <si>
    <t>BX30W</t>
  </si>
  <si>
    <t>WOS:000184905100013</t>
  </si>
  <si>
    <t>Vaughan, DG; Smith, AM; Nath, PC; Le Meur, E</t>
  </si>
  <si>
    <t>Acoustic impedance and basal shear stress beneath four Antarctic ice streams</t>
  </si>
  <si>
    <t>WEST ANTARCTICA; RADAR INTERFEROMETRY; CARLSON INLET; SHEET; MIGRATION; GLACIER; SURFACE; MARGIN</t>
  </si>
  <si>
    <t>The acoustic impedance of the subglacial material beneath 7.2 km profiles on four ice streams in Antarctica has been measured using a seismic technique. The ice streams span a wide range, of dynamic conditions with flow rates of 35-464 in a(-1). The acoustic impedance indicates that poorly lithified or dilated sedimentary material is ubiquitous beneath these ice streams. Mean acoustic impedance across each profile correlates well with basal shear stress and the slipperiness of the bed, indicating that acoustic impedance is a good diagnostic not only for the porosity of the subglacial material, but also for its dynamic state (deforming or non-deforming). Beneath two of the ice streams, lodged (non-deforming) and dilated (deforming) sediment coexist but their distribution is not obviously controlled by basal topography or ice thickness. Their distribution may be controlled by complex material properties or the deformation history. Beneath Rutford Ice Stream, lodged and dilated sediment coexist and are distributed in broad bands several kilometres wide, while on Talutis Inlet there is considerable variability over much shorter distances; this may reflect differences in the mechanism of drainage beneath the ice streams. The material beneath the slow-moving Carlson Inlet is probably lodged but unlithified sediment; this is consistent with the hypothesis that Carlson Inlet was once a fast-flowing ice stream but is now in a stagnant phase, which could possibly be revived by raised basal water content. The entire bed beneath fast-flowing Evans Ice Stream is dilated sediment.</t>
  </si>
  <si>
    <t>Vaughan, DG (corresponding author), British Antarctic Survey, Natl Environm Res Council, Madingley Rd, Cambridge CB3 0ET, England.</t>
  </si>
  <si>
    <t>Vaughan, David/0000-0002-9065-0570</t>
  </si>
  <si>
    <t>10.3189/172756403781816437</t>
  </si>
  <si>
    <t>WOS:000184905100031</t>
  </si>
  <si>
    <t>Thermodynamics of basal freeze-on: predicting basal and subglacial signatures of stopped ice streams and interstream ridges</t>
  </si>
  <si>
    <t>Annals of Glaciology-Series</t>
  </si>
  <si>
    <t>YAKUTAT, AK</t>
  </si>
  <si>
    <t>WEST ANTARCTICA; FROST HEAVE; MASS-BALANCE; WATER-PIRACY; SIPLE DOME; MODEL; BENEATH; CONSTRAINTS; GLACIERS; DEFORMATION</t>
  </si>
  <si>
    <t>We have constructed a numerical model that simulates the response of subglacial sediments to basal freeze-on. The model is set up to emulate the basal zone of drilling sites in the Ross Sea sector of the West Antarctic ice sheet. We treat basal freeze-on at an ice-sediment interface as a thermodynamic process that couples the flow of water, heat and solutes in unfrozen subglacial sediments underlying a freezing ice base. The coupling of these flows occurs through the Clapeyron equation, which specifies the dependence of the basal freezing/melting temperature on ice pressure, water pressure, solute concentration and surface tension effects. Thermally driven water flow is induced when an ice base becomes supercooled below the pressure-melting point because ice-water surface tension inhibits ice growth in small pore spaces of fine-grained subglacial sediments. Our model results show that basal freeze-on is capable of inducing considerable changes in the basal zone of both ice streams and interstream ridges. These changes are associated with specific signatures that compare with borehole observations and geophysical surveys. Water-pressure levels are reduced, and thick layers of debris-laden basal ice develop. These basal ice layers and underlying sediments contain a distinct isotopic signal, The predicted stable-isotope ratios reflect Rayleigh-type isotopic fractionation whose significance increases with increasing freezing rates. Supercooling of the ice base induces also measurable changes in the ice-temperature profile of the glacier. Till porosity represents another quantity whose evolution is influenced strongly by basal freeze-on. In particular, measurements of vertical porosity distribution beneath stopped ice streams could be used to back-calculate the timing of the onset of basal freezing. Our model results show that the basal zone of ice streams and interstream ridges responds sensitively to changes in basal melting/freezing rates. This sensitivity may allow reconstruction of past conditions beneath ice streams and interstream ridges from measurements made on basal ice samples and subglacial sediment samples. Our model results also indicate that meltwater from fast-flowing ice streams may be driven towards the freezing ice base of interstream ridges.</t>
  </si>
  <si>
    <t>Tech Univ Denmark, Dept Civil Engn, Bldg 204, DK-2800 Lyngby, Denmark.</t>
  </si>
  <si>
    <t>pc@byg.dtu.dk</t>
  </si>
  <si>
    <t>ANN GLACIOL-SER</t>
  </si>
  <si>
    <t>10.3189/172756403781816211</t>
  </si>
  <si>
    <t>WOS:000184905100032</t>
  </si>
  <si>
    <t>Hulbe, CL; Wang, WL; Joughin, IR; Siegert, MJ</t>
  </si>
  <si>
    <t>The role of lateral and vertical shear in tributary flow toward a West Antarctic ice stream</t>
  </si>
  <si>
    <t>EAST ANTARCTICA; LAW DOME; TEMPERATURE; BALANCE; LAYERS; SHEET</t>
  </si>
  <si>
    <t>Narrow lateral shear margins are the most distinctive visual feature of the West Antarctic ice streams. Large shear stresses within these layers support the majority of the gravitational driving stress within a fast-flowing ice stream. The present contribution looks upstream, to the tributaries that feed ice-stream onsets, and considers the effects of both horizontal and vertical shear on their flow. Numerical and direct simulations of vertical and horizontal shear are used. Vertical shear, simulated using an anisotropic flow law, is of particular interest. We conclude that by isolating overlying ice from large-amplitude variations in bed elevation, vertical shear margins play an important role in sustaining relatively rapid tributary flow.</t>
  </si>
  <si>
    <t>Portland State Univ, Dept Geol, Portland, OR 97207 USA; NASA, Goddard Space Flight Ctr, Raytheon Co, ITSS, Greenbelt, MD 20771 USA; CALTECH, Jet Prop Lab, Pasadena, CA 91109 USA; Univ Bristol, Sch Geog Sci, Bristol Glaciol Ctr, Bristol BS8 1SS, Avon, England</t>
  </si>
  <si>
    <t>Portland State University; National Aeronautics &amp; Space Administration (NASA); NASA Goddard Space Flight Center; Raytheon Technologies; National Aeronautics &amp; Space Administration (NASA); NASA Jet Propulsion Laboratory (JPL); California Institute of Technology; University of Bristol</t>
  </si>
  <si>
    <t>Hulbe, CL (corresponding author), Portland State Univ, Dept Geol, Box 751, Portland, OR 97207 USA.</t>
  </si>
  <si>
    <t>chulbe@pdx.edu</t>
  </si>
  <si>
    <t>Siegert, Martin/M-9939-2019; Siegert, Martin J/A-3826-2008; Joughin, Ian/AAR-7778-2021; Joughin, Ian R/A-2998-2008</t>
  </si>
  <si>
    <t>Siegert, Martin/0000-0002-0090-4806; Siegert, Martin J/0000-0002-0090-4806; Joughin, Ian/0000-0001-6229-679X; Joughin, Ian R/0000-0001-6229-679X; Hulbe, Christina/0000-0003-4765-7037</t>
  </si>
  <si>
    <t>10.3189/172756403781816194</t>
  </si>
  <si>
    <t>WOS:000184905100033</t>
  </si>
  <si>
    <t>Parizek, BR; Alley, RB; Hulbe, CL</t>
  </si>
  <si>
    <t>Subglacial thermal balance permits ongoing grounding-line retreat along the Siple Coast of West Antarctica</t>
  </si>
  <si>
    <t>ICE STREAM-B; BASAL MECHANICS; SHEET; STAGNATION; SHELF; FLOW</t>
  </si>
  <si>
    <t>Changes in the discharge of West Antarctic ice streams are of potential concern with respect to global sea level. The six relatively thin, fast-flowing Ross ice streams are of interest as low-slope end-members among Antarctic ice streams. Extensive research has demonstrated that these rivers of ice have a history of relatively high-frequency (less than or equal to O(100) years), asynchronous discharge variations with evolving lateral boundaries. Amidst this variability, a similar to1300 km grounding-line retreat has occurred since the Last Glacial Maximum. Numerical studies of Ice Stream D (Parizek and others, 2002) indicate that a proposed thermal-regulation mechanism (Clarke and Marshall, 1998; Hulbe and MacAyeal, 1999; Tulaczyk and others, 2000a,b), which could buffer the West Antarctic ice sheet against complete collapse, may be over-ridden by latent-heat transport within meltwater from beneath inland ice. Extending these studies to Ice Stream A, Whillans Ice Stream and Ice Stream C suggests that further grounding-line retreat contributing to sea-level rise is possible thermodynamically. However, the efficiency of basal water distribution may be a constraint on the system. Because local thermal deficits promote basal freeze-on (especially on topographic highs), observed short-term variability is likely to persist.</t>
  </si>
  <si>
    <t>Penn State Univ, Dept Geosci, University Pk, PA 16802 USA; Penn State Univ, EMS Environm Inst, University Pk, PA 16802 USA; Portland State Univ, Dept Geol, Portland, OR 97207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</si>
  <si>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Portland State University</t>
  </si>
  <si>
    <t>Penn State Univ, Dept Geosci, University Pk, PA 16802 USA.</t>
  </si>
  <si>
    <t>parizek@essc.psu.edu</t>
  </si>
  <si>
    <t>Hulbe, Christina/0000-0003-4765-7037</t>
  </si>
  <si>
    <t>10.3189/172756403781816167</t>
  </si>
  <si>
    <t>WOS:000184905100034</t>
  </si>
  <si>
    <t>Vogel, SW; Tulaczyk, S; Joughin, IR</t>
  </si>
  <si>
    <t>Distribution of basal melting and freezing beneath tributaries of Ice Stream C: implication for the Holocene decay of the West Antarctic ice sheet</t>
  </si>
  <si>
    <t>SUBGLACIAL GEOLOGY; MASS-BALANCE; MODEL; FLOW; DEFORMATION; CONSTRAINTS; TEMPERATURE; MECHANICS; DYNAMICS; SHELF</t>
  </si>
  <si>
    <t>Ice-stream tributaries connect the relatively slow-moving interior of the West Antarctic ice sheet (WAIS) with the fast-flowing Siple Coast ice streams. Basal water underneath these ice streams reduces basal resistance and enables the fast motion of the ice. Basal melting being the only source for this water, it is important to include the distribution of basal melting and freezing into numerical models assessing the stability of the WAIS. However, it is very difficult to constrain its distribution from existing field observations. Past borehole observations confirmed the presence of a wet bed at Byrd Station in the WAIS interior and at different locations within Siple Coast ice streams. However, the recent discovery of a 12-25 m thick sediment-laden bubble-free basal ice layer at the UpC boreholes indicates that basal freezing is either currently occurring or had occurred upstream during the last glacial-interglacial cycle. We use a flowline model of ice thermodynamics to assess and quantify the spatial and temporal distribution of basal melting and freezing beneath Ice Stream C tributaries, taking into account the geothermal flux, shear heating and heat conduction away from the bed. Under the assumption that the ice was moving over a weak bed (tau(b)= 1-10 kPa) our model is able to reproduce a layer of frozenon ice similar in thickness to the UpC sticky spot basal ice layer. Increased basal melting in the early Holocene possibly could have initiated the Holocene decay of the WAIS, whereas increased freezing rates over the past few thousand years could have decreased the amount of basal water in the system, resulting in a strengthening of the bed. This is consistent with current force-budget calculations for ice-stream tributaries and with observed stoppages and slow-downs of ice streams.</t>
  </si>
  <si>
    <t>University of California System; University of California Santa Cruz; California Institute of Technology; National Aeronautics &amp; Space Administration (NASA); NASA Jet Propulsion Laboratory (JPL)</t>
  </si>
  <si>
    <t>svogel@es.ucsc.edu</t>
  </si>
  <si>
    <t>Vogel, Stefan/I-1963-2014; Joughin, Ian/AAR-7778-2021; Joughin, Ian R/A-2998-2008; Vogel, Stefan/H-5051-2017; Tulaczyk, Slawek/O-7375-2018</t>
  </si>
  <si>
    <t>Joughin, Ian/0000-0001-6229-679X; Joughin, Ian R/0000-0001-6229-679X; Vogel, Stefan/0000-0002-4350-7130; Tulaczyk, Slawek/0000-0002-9711-4332</t>
  </si>
  <si>
    <t>10.3189/172756403781816112</t>
  </si>
  <si>
    <t>WOS:000184905100037</t>
  </si>
  <si>
    <t>Anandakrishnan, S</t>
  </si>
  <si>
    <t>Dilatant till layer near the onset of streaming flow of Ice Stream C, West Antarctica, determined by AVO (amplitude vs offset) analysis</t>
  </si>
  <si>
    <t>SUBGLACIAL GEOLOGY; BENEATH</t>
  </si>
  <si>
    <t>A powerful seismic technique that exploits the phase of the ice-bottom reflections shows that soft till is widespread beneath a West Antarctic ice stream very close to the onset of streaming flow. The amplitude vs offset (AVO) method measures the change in amplitude of the reflection as a function of increasing angle of incidence. For a decrease in acoustic impedance with depth, the reflection phase is negative at low angles of impedance but positive at intermediate angles. The change in phase by 180degrees is an obvious and robust measure of the relative acoustic impedance contrasts. This technique is only usable when there is a change in phase vs offset, conditions which obtain for UpB-type tills (high water pressures and porosity, low compressional- and shear-wave velocities, similar to those observed at Upstream B camp). I have applied this technique to the far upstream regions of Ice Stream C and find that a dilatant (and presumably deforming), relatively thick (meters) till layer has formed beneath the ice stream within tens of kin of the region identified as the transition from inland flow to ice-stream flow. These results suggest that the onset of rapid basal motion is linked to the formation of this deforming subglacial layer.</t>
  </si>
  <si>
    <t>sak@essc.psu.edu</t>
  </si>
  <si>
    <t>Anandakrishnan, Sridhar/JCN-5026-2023</t>
  </si>
  <si>
    <t>10.3189/172756403781816329</t>
  </si>
  <si>
    <t>WOS:000184905100038</t>
  </si>
  <si>
    <t>Sugiyama, S; Gudmundsson, GH; Helbing, J</t>
  </si>
  <si>
    <t>Duval, P</t>
  </si>
  <si>
    <t>Numerical investigation of the effects of temporal variations in basal lubrication on englacial strain-rate distribution</t>
  </si>
  <si>
    <t>ANNALS OF GLACIOLOGY, VOL 37</t>
  </si>
  <si>
    <t>International Symposium on Physical and Mechanical Processes om Ice in Relation to Glacier and Ice-Sheet Modelling</t>
  </si>
  <si>
    <t>AUG 25-30, 2002</t>
  </si>
  <si>
    <t>Chamonix, FRANCE</t>
  </si>
  <si>
    <t>VARIEGATED GLACIER; WATER-PRESSURE; MINI-SURGES; UNTERAARGLETSCHER; SWITZERLAND; VELOCITY; SURFACE; ALASKA; MOTION; USA</t>
  </si>
  <si>
    <t>The effects of spatial and temporal variations in basal lubrication on the englacial strain rate and surface velocity distribution are investigated with a numerical ice-flow model. General aspects of the solutions are compared to measurements made on Lauteraargletscher, Switzerland, in 2001, that showed diurnal fluctuations in both surface velocity and englacial vertical strain. We find that spatial gradients in basal lubrication can set up variations in the deviatoric stress field that increases with distance to the bed and has a maximum value near the glacier surface. This stress field produces a significant strain rate near the surface. The temporal evolution of a slippery zone is identified as a possible cause of the observed diurnal variations in the vertical strain rate. Although general aspects of the measurements can be explained in this way, the calculated vertical strain rates are too small, suggesting that the modeled effective viscosity values using Glen's flow law are too large near the surface.</t>
  </si>
  <si>
    <t>Hokkaido Univ, Inst Low Temp Sci, Sapporo, Hokkaido 0600819, Japan; British Antarctic Survey, NERC, Cambridge CB3 0ET, England; ETH, ETH Zentrum, Versuchsanstalt Wasserbau Hydrol &amp; Glaziol, CH-8092 Zurich, Switzerland</t>
  </si>
  <si>
    <t>Hokkaido University; UK Research &amp; Innovation (UKRI); Natural Environment Research Council (NERC); NERC British Antarctic Survey; Swiss Federal Institutes of Technology Domain; ETH Zurich</t>
  </si>
  <si>
    <t>Hokkaido Univ, Inst Low Temp Sci, Sapporo, Hokkaido 0600819, Japan.</t>
  </si>
  <si>
    <t>sugishin@pop.lowtem.hokudai.ac.jp</t>
  </si>
  <si>
    <t>Gudmundsson, Gudmundur Hilmar/F-6499-2012; Sugiyama, Shin/C-2511-2012; Gudmundsson, Gudmundur Hilmar/AAU-5987-2020</t>
  </si>
  <si>
    <t>0-946417-32-6</t>
  </si>
  <si>
    <t>10.3189/172756403781815618</t>
  </si>
  <si>
    <t>BY73Q</t>
  </si>
  <si>
    <t>WOS:000189450700008</t>
  </si>
  <si>
    <t>Jacka, TH; Donoghue, S; Li, J; Budd, WF; Anderson, RM</t>
  </si>
  <si>
    <t>Laboratory studies of the flow rates of debris-laden ice</t>
  </si>
  <si>
    <t>CENTRAL GREENLAND; BORE-HOLE; BASAL ICE; BEHAVIOR</t>
  </si>
  <si>
    <t>Ice-sheet basal ice is warmer than that above because of the heat from the Earths interior. The stresses acting on the basal ice are greatest. In addition, the basal ice often contains debris consisting of silt and small stones picked up from the rock over which the ice flows. Because the base is the warmest part of an ice sheet and the stress there is greatest, flow rates in the basal ice are large and often contribute most of the ice movement. It is therefore important, for accurate modelling of the ice sheets, to know whether the debris within the basal ice enhances or retards the flow of the ice. In this paper, we describe laboratory deformation tests in uniaxial compression and in simple shear, on sand-laden ice. We find no significant dependence of flow rate on sand content (up to 15% volume) in the stress range 0.13-0.5 MPa and temperature range -0.02 to -18.0 degreesC. Further work needs to include laboratory tests on debris-laden ice extracted from the polar ice sheets. This work is underway.</t>
  </si>
  <si>
    <t>Antarctic CRC, Hobart, Tas 7001, Australia; Australian Antarctic Div, Hobart, Tas 7001, Australia; La Trobe Univ, Bendigo, Vic 3552, Australia</t>
  </si>
  <si>
    <t>Australian Antarctic Division; La Trobe University</t>
  </si>
  <si>
    <t>Antarctic CRC, Private Bag 80, Hobart, Tas 7001, Australia.</t>
  </si>
  <si>
    <t>jo.jacka@aad.gov.au</t>
  </si>
  <si>
    <t>10.3189/172756403781815537</t>
  </si>
  <si>
    <t>WOS:000189450700017</t>
  </si>
  <si>
    <t>Rybak, O; Huybrechts, P</t>
  </si>
  <si>
    <t>A comparison of Eulerian and Lagrangian methods for dating in numerical ice-sheet models</t>
  </si>
  <si>
    <t>GREENLAND; SCHEMES; EQUATION</t>
  </si>
  <si>
    <t>Accurate dating in ice sheets is required for a correct interpretation of palaeoclimatic records and for incorporation of material characteristics in the flow law which depend on ice age. In this paper, we make a comparison between a Lagrangian and Eulerian approach to the ice advection problem in numerical ice-sheet models. This comparison is first performed for a schematic two-dimensional ice sheet of Nye-Vialov type with a prescribed stationary velocity field. Several cases are examined which incorporate basal melting, basal sliding and all undulating bed. A further comparison is made with an analytical solution for the ice divide. Both methods are also applied in a thermomechanical model of the Antarctic ice sheet for steady-state present-day conditions. Our main conclusion is that, for similar discretization parameters, the Lagrangian method produces less error than an Eulerian approach using a second-order upwinding finite-difference scheme, though the difference is small (&lt;1%) for the largest part of the model domain. However, problems with the Lagrangian approach are introduced by the dispersion of tracers, necessitating the use of interpolation procedures that are a main source of additional error. It is also shown that a cubic-spline approximation of Lagrangian trajectories improves accuracy, but such a method is computationally hardly applicable in large-scale ice-sheet models.</t>
  </si>
  <si>
    <t>Rybak, O (corresponding author), Alfred Wegener Inst Polar &amp; Marine Res, Postfach 120161, D-27515 Bremerhaven, Germany.</t>
  </si>
  <si>
    <t>phuybrechts@awi-bremerhaven.de</t>
  </si>
  <si>
    <t>Rybak, Oleg/B-7308-2014; Rybak, Oleg/AAQ-8467-2020; Huybrechts, Philippe/J-5278-2013</t>
  </si>
  <si>
    <t>Rybak, Oleg/0000-0003-3923-7163; Rybak, Oleg/0000-0002-7234-0544; Huybrechts, Philippe/0000-0003-1406-0525</t>
  </si>
  <si>
    <t>10.3189/172756403781815393</t>
  </si>
  <si>
    <t>WOS:000189450700024</t>
  </si>
  <si>
    <t>Adalgeirsdóttir, G; Gudmundsson, GH; Björnsson, H</t>
  </si>
  <si>
    <t>A regression model for the mass-balance distribution of the Vatnajokull ice cap, Iceland</t>
  </si>
  <si>
    <t>GREENLAND; SHEET; ABLATION</t>
  </si>
  <si>
    <t>A non-linear regression model describing the mass-balance distribution of the whole Vatnajokull ice cap, Iceland, for the years 1992-2000 is presented. All available data from some 40 locations over this 9 year period were used to determine the parameters of the model. The regression model uses six adjustable parameters which all have a clear physical interpretation. They are the slope, direction and the height of the equilibrium-line altitude (ELA) plane, two altitude mass-balance gradients, and a maximum value of the surface mass balance. It is found that the temporal variation of the observed mass-balance distribution can be accurately described through annual shifts of the ELA. Annual shifts in ELA are on the order of 100 m, which is of the same magnitude as the change expected to be caused by the climate variation predicted during the next decades. A slight trend towards a more negative mass balance is detected during this 9 year period.</t>
  </si>
  <si>
    <t>ETH, Versuchsanstalt Wasserbau Hydrol &amp; Glaziol, CH-8092 Zurich, Switzerland; British Antarctic Survey, NERC, Cambridge CB3 0ET, England; Univ Iceland, Inst Sci, IS-107 Reykjavik, Iceland</t>
  </si>
  <si>
    <t>Swiss Federal Institutes of Technology Domain; ETH Zurich; UK Research &amp; Innovation (UKRI); Natural Environment Research Council (NERC); NERC British Antarctic Survey; University of Iceland</t>
  </si>
  <si>
    <t>gudfinna@vaw.baug.ethz.ch</t>
  </si>
  <si>
    <t>Gudmundsson, Gudmundur Hilmar/F-6499-2012; Gudmundsson, Gudmundur Hilmar/AAU-5987-2020; Adalgeirsdottir, Gudfinna/M-3073-2015</t>
  </si>
  <si>
    <t>Natural Environment Research Council [bas010002] Funding Source: researchfish; NERC [bas010002] Funding Source: UKRI</t>
  </si>
  <si>
    <t>10.3189/172756403781815447</t>
  </si>
  <si>
    <t>WOS:000189450700029</t>
  </si>
  <si>
    <t>Sinisalo, A; Moore, JC; Van de Wal, RSW; Bintanja, R; Jonsson, S</t>
  </si>
  <si>
    <t>A 14 year mass-balance record of a blue-ice area in Antarctica</t>
  </si>
  <si>
    <t>DRONNING-MAUD-LAND; SURFACE; ACCUMULATION; SNOW</t>
  </si>
  <si>
    <t>Accumulation and ablation rates over an Antarctic blue-ice area spanning the 14 year period 1988-2002 are presented. Data were obtained by direct stake measurements. Large spatial and temporal variations in the net balance were observed without any clear trend over the entire period. There are marginally significant increases in snow accumulation, and in ablation in the blue-ice area farthest from the equilibrium zone (both at the 95% confidence level). The snow/blue-ice transition zone shows no change over the entire period of observation, and the blue-ice area near the zone shows no change in ablation rate over the 14 year period. The mass-balance gradient in Scharffenbergbotnen may have increased during the period 1988-2002. However, the changes are small, especially when compared with the changes observed elsewhere in Antarctica even relatively close to the blue-ice area. This may indicate that the blue-ice areas are relatively stable to changes in accumulation rate, and possibly temperature.</t>
  </si>
  <si>
    <t>Univ Lapland, Arctic Ctr, FIN-96101 Rovaniemi, Finland; Oulu Univ, Dept Geophys, FIN-90014 Oulu, Finland; Univ Utrecht, Inst Marine &amp; Atmospher Res, NL-3584 CC Utrecht, Netherlands; Stockholm Univ, Dept Phys Geog, S-10691 Stockholm, Sweden</t>
  </si>
  <si>
    <t>University of Lapland; University of Oulu; Utrecht University; Stockholm University</t>
  </si>
  <si>
    <t>Univ Lapland, Arctic Ctr, Box 122, FIN-96101 Rovaniemi, Finland.</t>
  </si>
  <si>
    <t>anna.sinisalo@urova.fr</t>
  </si>
  <si>
    <t>Moore, John C/B-2868-2013; van de wal, roderik/D-1705-2011</t>
  </si>
  <si>
    <t>Moore, John C/0000-0001-8271-5787; van de wal, roderik/0000-0003-2543-3892; Sinisalo, Anna/0000-0002-7587-1877; Bintanja, Richard/0000-0002-0465-5923</t>
  </si>
  <si>
    <t>10.3189/172756403781816013</t>
  </si>
  <si>
    <t>WOS:000189450700033</t>
  </si>
  <si>
    <t>Sleewaegen, S; Samyn, D; Fitzsimons, SJ; Lorrain, RD</t>
  </si>
  <si>
    <t>Equifinality of basal ice facies from an Antarctic cold-based glacier</t>
  </si>
  <si>
    <t>ISOTOPIC COMPOSITION; CHARACTER; WATER; CORE; LAKE</t>
  </si>
  <si>
    <t>Three debris-bearing ice facies were recognized at the base of Suess Glacier, a cold-based glacier damming a lake in Taylor Valley, South Victoria Land, Antarctica. These facies are termed amber ice,solid facies and basal stratified facies. This paper uses stable-isotope composition (deltaD and delta(18)O), gas content and gas composition (CO2, O-2 and N-2) to develop an understanding of the processes responsible for the formation of these facies. The basal ice is characterized by a striking difference in ice properties between the innermost end of a 25 m long tunnel dug 200 in upstream from the glacier front and the front itself At the glacier front, co-isotopic data plot along a well-defined freezing slope (S = 5.6), whereas, inside the tunnel, the isotopic data offset from the freezing slope and from the local meteoric water-line (which has a slope of 8.2). CO2 concentrations rise from a minimum of about 1000 ppmv in the tunnel to about 220 000 ppmv at the front. Taken together, these characteristics strongly suggest an increasing contribution of liquid water in the formation of basal ice towards the glacier terminus. We therefore conclude that visually similar basal ice facies can have different origins.</t>
  </si>
  <si>
    <t>Free Univ Brussels, Fac Sci, Dept Sci Terre Environm, B-1050 Brussels, Belgium; Univ Otago, Dept Geog, Dunedin, New Zealand</t>
  </si>
  <si>
    <t>Universite Libre de Bruxelles; University of Otago</t>
  </si>
  <si>
    <t>Free Univ Brussels, Fac Sci, Dept Sci Terre Environm, CP 160-03808 Route Lennik, B-1050 Brussels, Belgium.</t>
  </si>
  <si>
    <t>ssleewae@ulb.ac.be</t>
  </si>
  <si>
    <t>10.3189/172756403781815708</t>
  </si>
  <si>
    <t>WOS:000189450700040</t>
  </si>
  <si>
    <t>Benjumea, B; Macheret, YY; Navarro, FJ; Teixidó, T</t>
  </si>
  <si>
    <t>Estimation of water content in a temperate glacier from radar and seismic sounding data</t>
  </si>
  <si>
    <t>SPITSBERGEN; VELOCITY</t>
  </si>
  <si>
    <t>Radio-wave velocity measurements in temperate and polythermal glaciers, combined with dielectric Mixture formulae by Looyenga or Paren, have been used during the last decade to estimate the water content in temperate ice. We have used a similar mixture formula by Riznichenko, but based on elastic properties of the material, to estimate the water content from seismic velocity data. To compare the suitability of the two methods, we have used seismic and radar data from a temperate glacier on an Antarctic island. The estimated water contents are within 0.4-2.3% (average 1.2 +/- 0.6%) when radio-wave velocities are used, and within 0.9-3.2% (average 2.2 +/- 0.9%) when seismic velocities are used. These results are similar to those directly measured from ice cores and to those estimated from radar data on other temperate glaciers. The water-content estimates from seismic data are higher than those from radar data, which we attribute to the different behaviour of seismic and radar velocities as functions of density. Near-surface conditions (ice-firn conditions, presence of crevasses, etc.) have a strong influence on the propagation of elastic and electromagnetic waves, and thus on the accuracy of the velocity determinations and water-content estimates, and so should not be disregarded.</t>
  </si>
  <si>
    <t>Inst Andaluz Geofis, Granada 18007, Spain; Russian Acad Sci, Inst Geog, Dept Glaciol, Moscow 109017, Russia; Univ Politecn Madrid, ETSI Telecommun, Dept Matemat Aplicada, Madrid 28040, Spain; Inst Cartog Catalunya, ES-08038 Barcelona, Spain</t>
  </si>
  <si>
    <t>Russian Academy of Sciences; Institute of Geography, Russian Academy of Sciences; Universidad Politecnica de Madrid</t>
  </si>
  <si>
    <t>Benjumea, B (corresponding author), Inst Andaluz Geofis, Campus Univ Cartuja S-N, Granada 18007, Spain.</t>
  </si>
  <si>
    <t>fnavarro@mat.upm.es</t>
  </si>
  <si>
    <t>Navarro, Francisco/L-2941-2014; Ullod, Teresa Teixido/L-3664-2014; Benjumea, Beatriz/L-5577-2014; Yury, Macheret/AAG-7696-2021</t>
  </si>
  <si>
    <t>Navarro, Francisco/0000-0002-5147-0067; Ullod, Teresa Teixido/0000-0002-0387-2205; Benjumea, Beatriz/0000-0002-0673-3411; Macheret, Yuri/0000-0001-5687-5381</t>
  </si>
  <si>
    <t>10.3189/172756403781815924</t>
  </si>
  <si>
    <t>WOS:000189450700049</t>
  </si>
  <si>
    <t>Eisen, O; Wilhelms, F; Nixdorf, U; Miller, H</t>
  </si>
  <si>
    <t>Identifying isochrones in GPR profiles from DEP-based forward modeling</t>
  </si>
  <si>
    <t>DRONNING MAUD-LAND; ELECTROMAGNETIC-WAVE SPEED; HIGH-RESOLUTION RADAR; ANTARCTIC ICE-SHEET; INTERNAL LAYERS; POLAR ICE; ACCUMULATION; AMUNDSENISEN; CORES; FIRN</t>
  </si>
  <si>
    <t>Isochronic continuous horizons between 20 and 90 in depth in a ground-penetrating radar (GPR) profile, recorded in Dronning Maud Land, Antarctica, are identified by comparison of synthetic and measured single radar traces. The measured radar-gram is derived from a stacked GPR profile; the synthetic radargram is computed by convolution of the complex reflection coefficient profile, based on dielectric profiling (DEP) data of a 150 m ice core, with a depth-invariant wavelet. It reproduces prominent reflections of the measured radargram to a considerable degree. Analyzing matching peaks in both radargrams enables us to identify isochronic reflections and transfer individual volcanic-event datings to the GPR profile. Reflections are primarily caused by changes in permittivity; changes in conductivity are of minor importance. However, several peaks in permittivity and conductivity show a good correlation and indicate that some reflections are related to acidic layers. The results demonstrate the possibility of reproducing radargrams from ice-core property profiles, a necessary step for the interpretation of remotely sensed radar data and the general significance of connecting ice-core and radar data for correct interpretations. Problems related to forward modeling, data gaps, origin of permittivity peaks, and GPR profiles used for comparison, are discussed.</t>
  </si>
  <si>
    <t>Alfred Wegener Inst Polar &amp; Marine Res, Postfach 120161, D-27515 Bremerhaven, Germany.</t>
  </si>
  <si>
    <t>oeisen@awi-bremerhaven.de</t>
  </si>
  <si>
    <t>Wilhelms, Frank/KEI-8426-2024; Eisen, Olaf/K-3846-2012</t>
  </si>
  <si>
    <t>Wilhelms, Frank/0000-0001-7688-3135; Eisen, Olaf/0000-0002-6380-962X; Miller, Heinrich/0000-0003-1015-2828; Nixdorf, Uwe/0000-0002-6288-4361</t>
  </si>
  <si>
    <t>10.3189/172756403781816068</t>
  </si>
  <si>
    <t>WOS:000189450700053</t>
  </si>
  <si>
    <t>Carsey, F; Mogensen, CT; Behar, A; Engelhardt, H; Lane, AL</t>
  </si>
  <si>
    <t>Science goals for a Mars polar-cap subsurface mission: optical approaches for investigations of inclusions in ice</t>
  </si>
  <si>
    <t>DUST CONCENTRATION; CORE; SCATTERING; CLIMATE</t>
  </si>
  <si>
    <t>The Mars polar caps are highly interesting features of Mars and have received much recent attention, with new and exciting data on morphology, basal units and layered outcroppings. We have examined the climatological, glaciological and geological issues associated with a subsurface exploration of the Mars North Polar Cap and have determined that a fine-scale optical examination of ice in a borehole, to study the stratigraphy, geochemistry and geochronology of the ice, is feasible. This information will enable reconstruction of the development of the cap as well as understanding the properties of its ice. We present visible imagery taken of dust inclusions in archived Greenland ice cores as well as in situ images of accreted lithologic inclusions in West Antarctica, and we argue for use of this kind of data for Mars climate reconstruction as has been successful with Greenland and Antarctic ice-core analysis.</t>
  </si>
  <si>
    <t>CALTECH, Jet Prop Lab, Pasadena, CA 91109 USA; Univ Copenhagen, DK-2100 Copenhagen, Denmark; CALTECH, Pasadena, CA 91025 USA</t>
  </si>
  <si>
    <t>National Aeronautics &amp; Space Administration (NASA); NASA Jet Propulsion Laboratory (JPL); California Institute of Technology; University of Copenhagen; California Institute of Technology</t>
  </si>
  <si>
    <t>Carsey, F (corresponding author), CALTECH, Jet Prop Lab, 4800 Oak Grove Dr, Pasadena, CA 91109 USA.</t>
  </si>
  <si>
    <t>fcarsey@jpl.nasa.gov</t>
  </si>
  <si>
    <t>10.3189/172756403781816004</t>
  </si>
  <si>
    <t>WOS:000189450700055</t>
  </si>
  <si>
    <t>Hindmarsh, RCA</t>
  </si>
  <si>
    <t>Thermomechanical coupling of ice flow with the bedrock</t>
  </si>
  <si>
    <t>SHEET; MODEL; TEMPERATURE; GLACIERS</t>
  </si>
  <si>
    <t>Two aspects of thermal coupling with bedrock are considered: the coupled time-dependent problem of co-evolving temperatures in lithosphere and ice; and the influence of basal topography on steady temperature distribution within the ice. The nature of the time-dependent coupling is found to depend on the horizontal velocity. As has been suggested, there is a cooling of steady temperatures on bedrock highs, but this is phase-shifted downstream when horizontal velocities increase. This observation may have consequences for geomorphological processes such as plucking and protection. The effect of bedrock channelling on steady temperature is considered. The positive anomaly of basal temperature due to channelling increases as the transverse wavelength decreases, but not monotonically, reaching a plateau when both the wavelengths of the basal topography are around 100 km.</t>
  </si>
  <si>
    <t>Hindmarsh, RCA (corresponding author), British Antarctic Survey, Nat Environm Res Council, Madingley Rd, Cambridge CB3 0ET, England.</t>
  </si>
  <si>
    <t>rcah@bas.ac.uk</t>
  </si>
  <si>
    <t>Hindmarsh, Richard/C-1405-2012</t>
  </si>
  <si>
    <t>Hindmarsh, Richard/0000-0003-1633-2416</t>
  </si>
  <si>
    <t>10.3189/172756403781815988</t>
  </si>
  <si>
    <t>WOS:000189450700060</t>
  </si>
  <si>
    <t>Clarke, A</t>
  </si>
  <si>
    <t>Huiskes, AHL; Gieskes, WWC; Rozema, J; Schorno, RML; VanDerVies, SM; Wolff, WJ</t>
  </si>
  <si>
    <t>Evolution, adaptation and diversity: global ecology in an Antarctic context</t>
  </si>
  <si>
    <t>ANTARCTIC BIOLOGY IN A GLOBAL CONTEXT, PROCEEDINGS</t>
  </si>
  <si>
    <t>8th SCAR International Biology Symposium</t>
  </si>
  <si>
    <t>AUG 27-SEP 01, 2001</t>
  </si>
  <si>
    <t>VRIJE UNIV, AMSTERDAM, NETHERLANDS</t>
  </si>
  <si>
    <t>VRIJE UNIV</t>
  </si>
  <si>
    <t>orbital forcing; Gondwana; palaeotemperature; speciation; diversity; adaptation; extinction</t>
  </si>
  <si>
    <t>SEROLID ISOPODS CRUSTACEA; MITOCHONDRIAL-FUNCTION; CLIMATE-CHANGE; ICE-SHEET; ANTIFREEZE; COLD; SEA; TEMPERATURE; GLACIATION; DISPERSAL</t>
  </si>
  <si>
    <t>Antarctica appears on the map as a continent isolated from the rest of the world by oceanographic currents, deep water and distance. In some ways this is misleading, for Antarctica is affected by the same global processes which affect all of the Earth. Important amongst these are orbital forcing, plate tectonics and the global transfer of gases, water and heat. Furthermore, Antarctica is itself the site of processes which influence the rest of the globe, including bottom water formation, the seasonal growth and decay of sea-ice, the dynamics of ice shelves and continental ice masses, and oceanic sequestration of carbon. By virtue of its position over the southern pole, Antarctica is also at one end of the spectrum of variability in key physical features such as photoperiod and temperature. It is thus an environment which is extreme in both location and physiological challenge, and in consequence the study of organisms that live there has much to contribute to general principles in biology. The well-defined thermal and tectonic history of Antarctica and the Southern Ocean make these ideal laboratories for studying both the process and the result of evolutionary adaptation. The outcome of climatic, glacial and evolutionary processes through the Cenozoic has been a generally rich and diverse marine fauna, but a terrestrial flora and fauna which has the lowest natural diversity on Earth. Antarctica is thus a valuable and necessary location for testing the predictions of theory, and for examining the relevance of the outcome of experiments on ecosystem function in artificial systems. Finally, the historical processes which have driven much of the evolution of Antarctic floras and faunas are now known also to have influenced evolution over much of the rest of the globe.</t>
  </si>
  <si>
    <t>British Antarctic Survey, Div Biol Sci, Cambridge CB3 0ET, England</t>
  </si>
  <si>
    <t>British Antarctic Survey, Div Biol Sci, Cambridge CB3 0ET, England.</t>
  </si>
  <si>
    <t>BACKHUYS PUBLISHERS</t>
  </si>
  <si>
    <t>LEIDEN</t>
  </si>
  <si>
    <t>PO BOX 321, 2300 AH LEIDEN, NETHERLANDS</t>
  </si>
  <si>
    <t>90-5782-079-X</t>
  </si>
  <si>
    <t>Ecology; Environmental Sciences; Meteorology &amp; Atmospheric Sciences</t>
  </si>
  <si>
    <t>BW82P</t>
  </si>
  <si>
    <t>WOS:000183287900001</t>
  </si>
  <si>
    <t>Grose, M; McMinn, A</t>
  </si>
  <si>
    <t>Algal biomass in east Antarctic Pack Ice: how much is in the east?</t>
  </si>
  <si>
    <t>Antarctic; sea ice; biomass; algae</t>
  </si>
  <si>
    <t>SEA-ICE; BARENTS SEA; EUPHAUSIA-SUPERBA; MCMURDO-SOUND; GROWTH-RATES; WEDDELL SEA; MICROALGAE; PHOTOADAPTATION; COMMUNITIES; BEHAVIOR</t>
  </si>
  <si>
    <t>Total algal biomass in the eastern Antarctic pack ice zone (30-150degreesE) was assessed using chlorophyll a measurements from ice cores and calibrated observations of ice colour. Remote sensing data, viewed in GIS software, was used to calculate the ice thickness distribution and the habitat extent of each ice type. This information, together with measurements of the distribution of algal biomass within the ice column, were used to estimate total algal biomass. This was estimated to be 7.81 Tg C on 20 November 2000, 80% of which was in the bottom community. Extrapolating this result to December would result in a maximum standing algal crop of 8.51 Tg C, (95% pack ice), which is similar to14% of the Antarctic ice algal biomass. These results suggest that bottom communities are far more important in the East Antarctic region than they have previously been assessed to be.</t>
  </si>
  <si>
    <t>Univ Tasmania, Inst Antarctic &amp; So Ocean Studies, Hobart, Tas 7001, Australia</t>
  </si>
  <si>
    <t>Grose, M (corresponding author), Univ Tasmania, Inst Antarctic &amp; So Ocean Studies, Box 252-77, Hobart, Tas 7001, Australia.</t>
  </si>
  <si>
    <t>WOS:000183287900002</t>
  </si>
  <si>
    <t>Matsuoka, K; Watanabe, T; Ichii, T; Shimada, H; Nishiwaki, S</t>
  </si>
  <si>
    <t>Large whale distributions (south of 60°S, 35°E-130°E) in relation to the southern boundary of the Antarctic Circumpolar Current</t>
  </si>
  <si>
    <t>large-scale; oceanographic survey; vessel-survey; southern boundary of the Antarctic Circumpolar Current (ACC); whales; habitat; XCTD; JARPA</t>
  </si>
  <si>
    <t>The relationship between whale distributions and the southern boundary of the Antarctic Circumpolar Current (ACC) was examined south of 60degreesS and between 35degreesE and 130degreesE in 1997-1998. Humpback (Megaptera novaeangliae), southern right (Eubalaena australis), large male sperm (Physeter macrocephalus) and southern bottlenose (Hyperoodon planifrons) whales were concentrated between 80degreesE and 110degreesE during the austral summer. Results of XCTD analyses in this area indicated a large meander of the southern boundary of the ACC that seemed to be moving north along the continental rise to 61degreesS and then slowly moving down to 63degreesS between 80degreesE and 120degreesE. It was considered that this was a high productivity area formed by large-scale upwelling with nutritious bottom waters due to the effect of the southern Kerguelen Plateau. High-density areas of humpback whales were observed along the same large meander between 80degreesE-110degreesE. Southern right, large male sperm and southern bottlenose whales were also concentrated in this area, although they were distributed over the Antarctic continental slope. Several whale species, especially humpback, southern right, large male sperm and southern bottlenose whales used this section as their key feeding area, although it seemed that they were segregated from each other in their feeding habits.</t>
  </si>
  <si>
    <t>Inst Cetacean Res, Tokyo 1040055, Japan</t>
  </si>
  <si>
    <t>Matsuoka, K (corresponding author), Inst Cetacean Res, 4-5 Toyomi, Tokyo 1040055, Japan.</t>
  </si>
  <si>
    <t>matsuoka@i-cetacean-r.or.jp</t>
  </si>
  <si>
    <t>WOS:000183287900003</t>
  </si>
  <si>
    <t>Cannone, N; Guglielmin, M</t>
  </si>
  <si>
    <t>Vegetation and permafrost: sensitive systems for the development of a monitoring program of climate change along an Antarctic transect</t>
  </si>
  <si>
    <t>vegetation; permafrost; climate change; antarctic transect; monitoring system</t>
  </si>
  <si>
    <t>Permafrost occurrence and distribution are highly dependent on climatic conditions. In Antarctica, permafrost occurs in deglaciated areas; it is usually associated with vegetation communities. A monitoring program based on the sensitive system vegetation-permafrost will allow to detect climate change effects. In this paper we propose a research protocol to monitor active layer changes and vegetation development through the phytosociological approach. In each study site different types of vegetation-pennafrost systems have to be analysed to calibrate climate change effects both within the same study site and along the transect, thus avoiding the interference of local processes. A first step of the protocol has been realised at Jubany, King George Island, where 5 permanent plots have been installed in 2001. The next steps will be the creation of a monitoring site in Terra Nova Bay for Continental Antarctica and on Signy Island for Maritime Antarctica.</t>
  </si>
  <si>
    <t>3rd Univ Rome, I-00146 Rome, Italy</t>
  </si>
  <si>
    <t>Roma Tre University</t>
  </si>
  <si>
    <t>Cannone, N (corresponding author), 3rd Univ Rome, Largo San Leonardo Murialdo 1, I-00146 Rome, Italy.</t>
  </si>
  <si>
    <t>WOS:000183287900004</t>
  </si>
  <si>
    <t>Ellis-Evans, JC; Bayliss, PR</t>
  </si>
  <si>
    <t>An assessment of carbon oxidation processes in contrasting maritime Antarctic lakes</t>
  </si>
  <si>
    <t>microbial ecology; Antarctic; lakes; carbon cycling; temperature; anaerobic</t>
  </si>
  <si>
    <t>TEMPORAL PLANKTON DYNAMICS; FRESH-WATER SEDIMENTS; SOUTH-ORKNEY ISLANDS; SULFATE REDUCTION; SIGNY-ISLAND; MICROBIAL ACTIVITY; LITTORAL SEDIMENT; ECOSYSTEMS; PHYTOPLANKTON; DECOMPOSITION</t>
  </si>
  <si>
    <t>The significance of anaerobic processes in Maritime Antarctic freshwater lakes was assessed using oligo-mesotrophic Sombre Lake and eutrophic Heywood Lake. All the major ecophysiological groupings of bacteria were present in both lake sediments. Data were assembled from year-round studies of both lakes, which clearly demonstrated the pronounced seasonality induced by the presence of extensive ice cover. Organic inputs to Heywood Lake sediments were 3x those to Sombre Lake sediments. Aerobic mineralization processes dominated both lake sediment environments and anaerobes mineralised &lt;10% of the sedimenting organic carbon. However the significance of each anaerobic group differed markedly between lakes and this is discussed in the context of lake environment and surrounding catchment.</t>
  </si>
  <si>
    <t>Ellis-Evans, JC (corresponding author), British Antarctic Survey, Madingley Rd, Cambridge CB3 0ET, England.</t>
  </si>
  <si>
    <t>WOS:000183287900005</t>
  </si>
  <si>
    <t>Karentz, D</t>
  </si>
  <si>
    <t>Environmental change in Antarctica: ecological impacts and responses</t>
  </si>
  <si>
    <t>Antarctica; ozone depletion; climate change</t>
  </si>
  <si>
    <t>SEA-ICE EXTENT; CLIMATE-CHANGE; SOUTHERN-OCEAN; OZONE DEPLETION; ULTRAVIOLET-RADIATION; EUPHAUSIA-SUPERBA; VASCULAR PLANTS; RESPIRATORY METABOLISM; COLOBANTHUS-QUITENSIS; COMMUNITY STRUCTURE</t>
  </si>
  <si>
    <t>Climate change (temperature trends) and ozone depletion (increases in UV-B) are global environmental processes initiated by natural alterations of the Earth's atmosphere and further modified by anthropogenic inputs. While proxies for reconstruction of Earth's temperature history have been preserved in ice and sediments for thousands of millennia, ozone levels are known only from instrument measurements made within the past century. Thus, the evaluation of variations in temperature and ozone are based on data from different time scales. Even with anthropogenic forcing, climate change is occurring more gradually and mimics past fluctuations in temperature that have occurred over geologic time. The more recent trend of ozone depletion results directly from human activities and has been occurring for only the past two decades. The ecological and evolutionary implications of observed and predicted temporal patterns of environmental change in Antarctica are extremely complex and the long-term impacts on the biosphere are uncertain. Many national Antarctic programs sponsor research on species and community responses to temperature and to UV-B in terrestrial and marine habitats. Fluctuations in these environmental variables have biological consequences at the cellular level that will affect species diversity, community productivity and ecosystem function. From the limited data available, it appears that effects in terrestrial ecosystems are most likely regulated directly by physiological responses with subsequent modification of species competition and trophic dynamics. Marine effects from ozone depletion may also be manifested through physiological responses, however, the greatest impact of climate change on the Antarctic marine ecosystem is likely to be mediated through shifts in the mass balance of water and ice. Even small changes will act as a physical feedback mechanism to influence ocean and atmospheric circulation on local and global scales. Both continuation of long-term monitoring and design of new experimental approaches are needed to acquire further understanding of the integrated response of Antarctic species, communities and ecosystems to their changing environments.</t>
  </si>
  <si>
    <t>Univ San Francisco, Dept Biol, San Francisco, CA 94117 USA</t>
  </si>
  <si>
    <t>University of San Francisco</t>
  </si>
  <si>
    <t>Karentz, D (corresponding author), Univ San Francisco, Dept Biol, San Francisco, CA 94117 USA.</t>
  </si>
  <si>
    <t>karentzd@usfca.edu</t>
  </si>
  <si>
    <t>WOS:000183287900006</t>
  </si>
  <si>
    <t>Hoyer, K; Karsten, U; Wiencke, C</t>
  </si>
  <si>
    <t>Inventory of UV-absorbing mycosporine-like amino acids in polar macroalgae and factors controlling their content</t>
  </si>
  <si>
    <t>irradiance; macroalgae; mycosporine-like amino acids; UVR; vertical distribution</t>
  </si>
  <si>
    <t>ULTRAVIOLET-RADIATION; MARINE ORGANISMS; OZONE DEPLETION; ARCTIC FJORD; PHOTOSYNTHESIS; ACCUMULATION; ISLAND</t>
  </si>
  <si>
    <t>In the Arctic and Antarctic, a quantitative survey of mycosporine-like amino acids (MAAs) in benthic macroalgal species based on their vertical distribution was performed. Differences in MAA concentrations were related to the distinct habitats and to the underwater radiation climate which was measured, in addition to the atmospheric irradiance at both field stations. Red algae from the eulittoral generally contained higher MAA concentrations than those of the lower and upper sublittoral. The dependency of MAA synthesis on radiation conditions was also found in induction experiments in algae of both regions. The presence and type of trigger mechanisms for MAA biosynthesis is discussed as well as the possible photoprotective role of MAAs.</t>
  </si>
  <si>
    <t>Hoyer, K (corresponding author), Alfred Wegener Inst Polar &amp; Marine Res, Am Handelshafen 12, D-27570 Bremerhaven, Germany.</t>
  </si>
  <si>
    <t>khoyer@awi-bremerhaven.de</t>
  </si>
  <si>
    <t>WOS:000183287900007</t>
  </si>
  <si>
    <t>Obermüller, B; Karsten, U; Pörtner, HO; Abele, D</t>
  </si>
  <si>
    <t>Effects of UV-radiation on oxidative stress parameters in polar marine amphipods, and the role of UV-absorbing mycosporine-like amino acids (MAAs) in their diet</t>
  </si>
  <si>
    <t>UVB; amphipods; Antarctica; oxidative stress; mycosporines</t>
  </si>
  <si>
    <t>ULTRAVIOLET-RADIATION; TISSUES; ACCUMULATION</t>
  </si>
  <si>
    <t>This study investigates the impact of elevated UVB radiation on UV-transparent Antarctic shallow water amphipods with respect to UV-induced oxidative stress in animal cells. Transfer of UV absorbing macroalgal-derived mycosporine-like amino acids (MAAs) was studied, to assess the importance of the algal diet for UV and antioxidant protection in crustaceans. Animals were exposed to artificial UVB light up to four weeks in the laboratory. Mortality increased to roughly 10% of exposed amphipods under moderate UVB dose (42-54% of shallow water in-situ dose, i.e. 21-27% of natural atmospheric dose over exposure time) and to a maximum of 28% under high UVB exposure (50-93% increase of shallow water in-situ dose, i.e. 75-97% of natural atmospheric dose over exposure time) in animals not fed with macroalgae over 14 days. By contrast, the state of nutrition does not seem to affect antioxidant protection and lipid peroxidation directly as no significant differences between fed and non-fed animals could be detected. Variability of in-situ values was high for superoxid-dismutase (SOD) and malondialdehyde (MDA) accumulation. SOD activity increased under moderate, and decreased during high dose UVB exposure. Lipid peroxidation (MDA) decreased after three weeks of low dose UVB exposure and exhibited a slight increase under high dose UVB. Batch uptake of MAAs from algal food was not increased under experimental high dose UVB exposure over 3 weeks, and mycosporine-glycine and P-334 were the only compounds that accumulated in exposed animals. Without UVB (cut-off filter) mycosporine-glycine as well as P-334 and palythine decreased during the experiment compared to initial values. This suggests a better conservation of individual MAAs under UVB exposure and a faster degradation of these sunscreening compounds in UVB non-irradiated amphipods.</t>
  </si>
  <si>
    <t>Obermüller, B (corresponding author), Alfred Wegener Inst Polar &amp; Marine Res, Columbusstr, D-27568 Bremerhaven, Germany.</t>
  </si>
  <si>
    <t>Pörtner, Hans-O./ISU-9397-2023; Pörtner, Hans-O./K-9429-2016</t>
  </si>
  <si>
    <t>Pörtner, Hans-O./0000-0001-6535-6575</t>
  </si>
  <si>
    <t>WOS:000183287900008</t>
  </si>
  <si>
    <t>Lud, D; Buma, AGJ; Moerdijk, TCW; Huiskes, AHL</t>
  </si>
  <si>
    <t>DNA damage and photosynthesis in Prasiola crispa ssp antarctica and Sanionia uncinata in response to manipulated UV-B radiation</t>
  </si>
  <si>
    <t>DNA damage; cyclobutane pyrimidine dimer; ozone depletion; Prasiola crispa; Sanonia uncinata; UV-B radiation</t>
  </si>
  <si>
    <t>PYRIMIDINE DIMER REPAIR; TIERRA-DEL-FUEGO; OZONE DEPLETION; ULTRAVIOLET-RADIATION; TERRESTRIAL; GROWTH; PHYTOPLANKTON; ECOSYSTEMS; EXPOSURE; IMPACTS</t>
  </si>
  <si>
    <t>The terrestrial vegetation in the Antarctic Peninsula region has a higher diversity than elsewhere in Antarctica. However, the vegetation in this region is regularly under the influence of strong seasonal ozone depletion during spring and early summer. We investigated DNA damage and photosynthesis in response to short-term fluctuations of UV-B radiation in two cryptogam species. Samples of the terrestrial alga P. crispa ssp. antarctica and the moss Sanionia uncinata were exposed outdoors to reduced, ambient and enhanced levels of UV-B radiation at Rothera Research Station in January 1999 and 2000. PSII efficiency, net photosynthesis (NP) and dark respiration (DR) remained largely unaffected by UV-treatment. DNA damage measured as cyclobutane pyrimidine dimer, CPD, formation increased significantly due to UV-B exposure whereas no effect on photosynthesis could be established. We conclude that DNA damage is more sensitive to UV-B radiation than photosynthesis. There was no clear linear relationship between DNA damage levels and cumulative weighted UV-B dose in the species investigated. Together with the considerable variation in DNA damage levels this indicated that the CPD levels measured resulted from a combination of damage and repair processes.</t>
  </si>
  <si>
    <t>Royal Netherlands Acad Arts &amp; Sci, Ctr Estuarine &amp; Marine Ecol, Netherlands Inst Ecol, NL-4400 AC Yerseke, Netherlands</t>
  </si>
  <si>
    <t>Royal Netherlands Academy of Arts &amp; Sciences; Netherlands Institute of Ecology (NIOO-KNAW)</t>
  </si>
  <si>
    <t>Lud, D (corresponding author), Royal Netherlands Acad Arts &amp; Sci, Ctr Estuarine &amp; Marine Ecol, Netherlands Inst Ecol, POB 140, NL-4400 AC Yerseke, Netherlands.</t>
  </si>
  <si>
    <t>a.huiskes@nioo.knaw.nl</t>
  </si>
  <si>
    <t>Huiskes, Ad/C-3252-2011; Buma, Anita GJ/E-8372-2015</t>
  </si>
  <si>
    <t>WOS:000183287900009</t>
  </si>
  <si>
    <t>Convey, P</t>
  </si>
  <si>
    <t>Soil faunal community response to environmental manipulation on Alexander Island, southern maritime Antarctic</t>
  </si>
  <si>
    <t>Antarctic; climate change; climate manipulation; nematode; tardigrade; rotifer; soil fauna</t>
  </si>
  <si>
    <t>EXPERIMENTAL TEMPERATURE ELEVATION; CLIMATE-CHANGE; PENINSULA; POPULATIONS</t>
  </si>
  <si>
    <t>Two long-term environmental manipulation experiments, using perspex screens to alter aspects of the thermal and radiation climate, have been installed over soil ecosystems at Mars and Ares Oases on southern Alexander Island (c. 72degreesS). These ecosystems are based on autotrophic microbes and meiofaunal groups. Initial results from the Mars Oasis manipulation (commenced in November 1997) identified rapid and large changes in soil nematode communities after only 1 year, with population increases of 2-3 orders of magnitude, although no consistent effects were apparent for tardigrade and rotifer populations. The same soils were resampled during November and December 2000, along with soils from the series of screens deployed at the neighbouring Ares Oasis in January 1995. At Mars Oasis increases in nematode population densities over bare ground controls were again apparent. However, these were much smaller than found in 1998/9 and densities were now comparable to those found in local naturally vegetated ground. Further, while the majority of the increase observed after 1 year was accounted for by the single microbivorous genus, Plectus, after 3 years community complexity had increased to include several omnivorous genera and diversity was also now comparable with local naturally-vegetated ground. Responses to the 5 year manipulation at Ares Oasis were similar in some regards to the first year results at Mars Oasis (also finding a considerable increase in population densities), but did not show the same pattern of increasing complexity seen subsequently at Mars.</t>
  </si>
  <si>
    <t>WOS:000183287900010</t>
  </si>
  <si>
    <t>Gerighausen, U; Bräutigam, K; Mustafa, O; Peter, HU</t>
  </si>
  <si>
    <t>Expansion of vascular plants on an Antarctic island a consequence of climate change?</t>
  </si>
  <si>
    <t>Deschampsia antarctica; Colobanthus quitensis; population increase; climate warming; habitat characteristics</t>
  </si>
  <si>
    <t>PENINSULA; REPRODUCTION; GROWTH</t>
  </si>
  <si>
    <t>A detailed mapping of the Antarctic hair grass Deschampsia antarctica was carried out on Fildes Peninsula(King George Island, South Shetland Islands) in 2000/01, and compared with sites reported by Gebauer et al. in 1984/85. In addition, data on habitat characteristics of D. antarctica were collected. The grass generally occured in moderately moist lowland coastal areas on moderate slopes at W-, NW-, N- and NE-facing sites. Habitat differences influenced the vegetative but not the reproductive performance. At sites with nutrient input or with associated mosses, D. antarctica showed improved performance (bigger tufts, larger colonies). The re-examination revealed a significant increase in size and number of colonies of D. antarctica since 1985. The second vascular plant-the Antarctic pearlwort Colobanthus quitensis - was found on Fildes in 2000/01 for the first time. A warming trend of about 0.035degreesC yr(-1) and a total increase in summer air temperature of about 0.8degreesC since 1969 were recorded on Fildes Peninsula. It is suggested that the population increase and the colonisation are responses to warmer and longer growing seasons caused by regional warming. Our detailed mapping of the whole Fildes Peninsula can be used as a basis for long-term monitoring of biological changes in the Maritime Antarctic.</t>
  </si>
  <si>
    <t>Gerighausen, U (corresponding author), Univ Jena, Inst Ecol, Dornburger Str 159, D-07743 Jena, Germany.</t>
  </si>
  <si>
    <t>WOS:000183287900011</t>
  </si>
  <si>
    <t>Di Prisco, G</t>
  </si>
  <si>
    <t>Adaptation and evolution in the Antarctic: an exciting challenge for biology</t>
  </si>
  <si>
    <t>evolution; adaptation; EVOLANTA; fish; Antarctica; polar ecosystems</t>
  </si>
  <si>
    <t>FUNCTIONALLY DISTINCT HEMOGLOBINS; MOLECULAR EVOLUTION; GLOBIN GENES; FISHES; ICEFISHES; MITOCHONDRIAL; PHYLOGENIES; REMNANTS; TELEOST; SYSTEM</t>
  </si>
  <si>
    <t>The study of evolutionary history and biology of the unique Antarctic biota is steadily gaining momentum. Research on fish evolution has recently been addressed to antifreeze compounds in Antarctic and Arctic fish, globin genes and loss of expression in icefish, hemoglobin, systematics of Notothenioidei. Coordination within a well-conceived international, multi-disciplinary and integrated programme is useful and appropriate. Such framework is provided by the science plan of Evolution in the Antarctic (EVOLANTA), an international and multi-disciplinary SCAR programme, which, acting in synergy with other Antarctic programmes, links research on evolution in response to climate change, coordinating investigations on the Antarctic marine, terrestrial and freshwater ecosystems. Studying adaptation and evolution of Antarctic organisms is a difficult task, and this challenge will keep Antarctic biologists busy in the next decades.</t>
  </si>
  <si>
    <t>CNR, Inst Prot Biochem, I-80125 Naples, Italy.</t>
  </si>
  <si>
    <t>diprisco@dafne.ibpe.na.cnr.it</t>
  </si>
  <si>
    <t>WOS:000183287900012</t>
  </si>
  <si>
    <t>Knust, R; Arntz, WE; Boche, M; Brey, T; Gerdes, D; Mintenbeck, K; Schröder, A; Starmans, A; Teixido, N</t>
  </si>
  <si>
    <t>Iceberg scouring on the Eastern Weddell Sea Shelf (Antarctica):: a benthic system shaped by physical disturbances?</t>
  </si>
  <si>
    <t>Weddell Sea; ice shelf; fauna; icebergs; iceberg scouring; recolonization; disturbance</t>
  </si>
  <si>
    <t>TEMPORAL VARIATION; ESTUARINE INFAUNA; ICE-SCOUR; IMPACT; RECOLONIZATION; COMMUNITIES; SUCCESSION; MEIOFAUNA; RESPONSES; RECOVERY</t>
  </si>
  <si>
    <t>Antarctic shelf communities are known to be affected by icebergs. Hitherto, however, neither a synoptic study of iceberg effects on faunistic groups nor the recolonization of different compartments of benthic and fish communities after disturbance have been described. This paper presents a preliminary synopsis of the effects of grounding icebergs on the Weddell Sea shelf fauna by summarizing the information available from 3 expeditions with RV POLARSTERN.</t>
  </si>
  <si>
    <t>Knust, R (corresponding author), Alfred Wegener Inst Polar &amp; Marine Res, Columbusstr, D-27515 Bremerhaven, Germany.</t>
  </si>
  <si>
    <t>WOS:000183287900013</t>
  </si>
  <si>
    <t>Marshall, CJ; Johnston, NM; Murray, BW; Brown, PM; Verghese, AI</t>
  </si>
  <si>
    <t>Does the enzyme citrate synthase from several Antarctic fish show evidence of cold adaptation?</t>
  </si>
  <si>
    <t>cold adaptation; Antarctic; citrate synthetase; fish; low temperature</t>
  </si>
  <si>
    <t>LACTATE-DEHYDROGENASE; TEMPERATURE; METABOLISM</t>
  </si>
  <si>
    <t>Antarctic fishes have adapted over evolutionary time to live at very low temperatures. This adaptation has involved an associated reduction in basal (resting) metabolic rate (Clarke &amp; Johnston 1999) and there is no compelling evidence for metabolic cold adaptation (in the original sense of an elevated metabolic rate in polar fish). Since these fish must be able to generate aerobic power when needed, we have therefore investigated the activity of citrate synthase (CS), a key enzyme in aerobic metabolism (Crockett &amp; Sidell 1990), to compare with previous data on lactate dehydrogenase (LDH), a key enzyme in anaerobic glycolysis (Fields &amp; Somero 1998, Marshall et al. 2000, Sharpe et al. 2001). The aims were to see whether CS activities in polar fish were lower than in warmer water fish, to see whether activity was elevated with lifestyle, and to examine sequence variation in the CS genes. We examined CS activity and isolated the genes coding for this enzyme in a number of Antarctic fish from the families Nototheniidae (Dissostichus mawsoni, Pagothenia borchgrevinki, Trematomus bernacchii, T newnesi, T pennellii, T loennbergii), Bathydraconidae (Gymnodraco acuticeps), and Zoarcidae (Lycodichthys dearborni), representing a range of ecotypes from McMurdo Sound, Antarctica. For comparison we examined CS activity in a temperate member of the Nototheniidae, Notothenia angustata, collected from New Zealand. To investigate sequence variation in CS genes, primers were developed to the 5' and 3' ends of the CS gene (derived from the complete sequence of Dissostichus mawsoni CS) that allowed for PCR amplification and subsequent cloning of CS sequences.</t>
  </si>
  <si>
    <t>Univ Otago, Dept Biochem, Dunedin, New Zealand</t>
  </si>
  <si>
    <t>Marshall, CJ (corresponding author), Univ Otago, Dept Biochem, POB 56, Dunedin, New Zealand.</t>
  </si>
  <si>
    <t>Marshall, Craig J./C-6668-2009; Murray, Brent W/F-5031-2012</t>
  </si>
  <si>
    <t>Marshall, Craig J./0000-0003-4186-0368;</t>
  </si>
  <si>
    <t>WOS:000183287900014</t>
  </si>
  <si>
    <t>Fanta, E; Donatti, L; Romao, S; Vianna, ACC; Zaleski, M</t>
  </si>
  <si>
    <t>Food detection and the morphology of some sensory organs in the Antarctic Blackfin icefish Chaenocephalus aceratus Lonnberg, 1906</t>
  </si>
  <si>
    <t>food; icefish; sensory organs; morphology; circadian rhythm; photoperiod</t>
  </si>
  <si>
    <t>NOTOTHENIA-NEGLECTA; FEEDING-BEHAVIOR; FISH; STICKLEBACK; PISCES; HABITS; PREY; SIZE; DIET</t>
  </si>
  <si>
    <t>The Antarctic fish Chaenocephalus aceratus showed activity peaks that coincide with spontaneous feeding, under photoperiod 20L/4D. Large fish were significantly more active, fed more and swam for a longer period after stimulation than small and medium ones. Big eyes but only double cones and bundles of rods are sufficient to allow visual stimulation for feeding. An oval elongated olfactory rosette perceives chemical stimuli with a large number of lamellae lined by a sensory epithelium with high density of sensory cells, and few taste buds in a stratified epithelium rich in goblet cells. Taste buds are frequent at upper lips and rare at lower lips, surrounded by squamous epithelium with goblet cells. Both senses can be used individually for food detection. Reactions to the presence of food were slightly faster and at higher level in light, indicating that C. aceratus is well adapted to live in a dim environment.</t>
  </si>
  <si>
    <t>Univ Fed Parana, Dept Biol Celular, BR-80060000 Curitiba, Parana, Brazil</t>
  </si>
  <si>
    <t>Fanta, E (corresponding author), Univ Fed Parana, Dept Biol Celular, BR-80060000 Curitiba, Parana, Brazil.</t>
  </si>
  <si>
    <t>Donatti, Lucelia/E-1930-2013</t>
  </si>
  <si>
    <t>Donatti, Lucelia/0000-0002-9023-2483</t>
  </si>
  <si>
    <t>WOS:000183287900015</t>
  </si>
  <si>
    <t>Masini, MA; Prato, P; Sturla, M; Uva, BM</t>
  </si>
  <si>
    <t>The cytoskeleton in cardiocytes and nervous elements in the heart of icefish and red blooded Antarctic fishes</t>
  </si>
  <si>
    <t>icefish; Antarctic; cytoskeleton; nitric oxide; teleost; heart; nervous system</t>
  </si>
  <si>
    <t>NITRIC-OXIDE SYNTHASE; CHAENOCEPHALUS-ACERATUS; HEMOGLOBIN-FREE; CHANNICHTHYS-RHINOCERATUS; CARASSIUS-AURATUS; MYOGLOBIN; GOLDFISH; SYSTEM</t>
  </si>
  <si>
    <t>In icefish, to compensate the lack of haemoglobin, blood volume, heart stroke and the dimension of the heart are increased. Aim of the present research was to compare red-blooded fishes and icefishes at cellular level and to investigate on the putative impulse conducting system. The results indicated that actin filaments are more numerous in the haemoglobin-free fishes than in the red-blooded ones. An intense PAS reaction was found in the icefishes indicating a higher concentration of carbohydrates. Ganglion cells and autonomic fibres were more numerous in the haemoglobinless hearts than in the haemoglobin-rich ones. Non-cholinergic and non-adrenergic innervation, revealed by the presence of Nitric Oxide, was found in both Channichthyidae and Nototheniidae. Innervation, as well as glycogen-rich myocardiocytes, were found in the sinu-atrial region, the putative pacemaker of the Teleost heart. The data indicate that the haemoglobin-free heart is better organised to face the more elevated cardiac performance.</t>
  </si>
  <si>
    <t>Univ Genoa, Dipartimento Biol Sperimentale Ambientale Applica, I-16132 Genoa, Italy</t>
  </si>
  <si>
    <t>Masini, MA (corresponding author), Univ Genoa, Dipartimento Biol Sperimentale Ambientale Applica, Viale Benedetto XV 5, I-16132 Genoa, Italy.</t>
  </si>
  <si>
    <t>WOS:000183287900016</t>
  </si>
  <si>
    <t>Pisano, E; Ghigliotti, L; Mazzei, F; Ozouf-Costaz, C</t>
  </si>
  <si>
    <t>Cytogenetic features of Notothenia angustata Hutton, 1875, an Antarctic fish living in non-Antarctic waters</t>
  </si>
  <si>
    <t>cytogenetic; notothenoid; fish; cold adaptation</t>
  </si>
  <si>
    <t>EVOLUTION; LOCATION</t>
  </si>
  <si>
    <t>The research on fish of the suborder Notothemoidei has produced valuable advancement on Antarctic evolutionary biology. The major features of the evolutionary history of these fishes have been established as well as the molecular basis for cold adaptation, and the Antarctic continental shelf is gaining visibility as an important evolutionary site. However few is still known about fluctuations or migrations of the species, about sites of radiations and events of speciation after the arising of cold adaptation, that have led to the present taxonomic composition and geographical distribution, and that are possibly related to cycles of cooling of the Southern Ocean. In this contest, species living in sub-Antarctic and cold temperate peri-Antarctic regions are particularly interesting. For instance the nototheniid Notothenia angustata have acquired cold adaptation but inhabits, at present, the cold-temperate waters of New Zealand and South America. In the present paper we report on the main cytogenetic features of N. angustata from New Zealand, with the aim to contribute to a species-specific characterisation and to provide information on the biological history of this Antarctic fish living in non-Antarctic waters.</t>
  </si>
  <si>
    <t>Univ Genoa, DIBISAA, I-16132 Genoa, Italy</t>
  </si>
  <si>
    <t>Univ Genoa, DIBISAA, Viale Benedetto XV,5, I-16132 Genoa, Italy.</t>
  </si>
  <si>
    <t>pisano@unige.it</t>
  </si>
  <si>
    <t>Ghigliotti, Laura/J-3076-2012; Ghigliotti, Laura/AAN-6843-2021</t>
  </si>
  <si>
    <t>Ghigliotti, Laura/0000-0003-2139-1381</t>
  </si>
  <si>
    <t>WOS:000183287900017</t>
  </si>
  <si>
    <t>Alonzo, F; Nicol, S; Virtue, P; Nichols, PD</t>
  </si>
  <si>
    <t>Lipids as trophic markers in Antarctic krill, I. Validation under controlled laboratory conditions</t>
  </si>
  <si>
    <t>Euphausia superba; controlled diet; lipid classes; fatty acids</t>
  </si>
  <si>
    <t>EUPHAUSIA-SUPERBA DANA; MARGINAL ICE-ZONE; FATTY-ACID COMPOSITION; SOUTH GEORGIA; PHYTOPLANKTON; SEA; POPULATIONS; STARVATION; BEHAVIOR; COPEPODS</t>
  </si>
  <si>
    <t>Lipid class and fatty acid composition of Antarctic krill were investigated in relation to diet under controlled laboratory conditions. Krill fed a phytoplankton diet, in particular diatoms and cryptomonads, assimilated more lipids, dominated by triacylglycerol, than krill fed rotifers and Artemia. Krill fed different phytoplankton can be distinguished by their fatty acid profiles, e.g.: Diatoms: high EPA (20:5omega3) and 16:1omega7 Cryptomonads: high 18:omega9, 18:4w3 and 16:1omega7; Dinoflagellates: high DHA (22:6omega3) and 16:1omega7 Thraustochytrids: high DHA, 14:0 and 16:1omega7 Krill fed rotifers or Artemia can be distinguished from phytoplankton-fed krill but can not be distinguished from each other based on fatty acid profiles. We suggest that a herbivorous diet is nutritionally more favourable for Antarctic krill.</t>
  </si>
  <si>
    <t>Alonzo, F (corresponding author), Univ Tasmania, Inst Antarctic &amp; So Ocean Studies, GPO Box 252-77, Hobart, Tas 7001, Australia.</t>
  </si>
  <si>
    <t>Nichols, Peter D/C-5128-2011</t>
  </si>
  <si>
    <t>Virtue, Patti/0000-0002-9870-1256</t>
  </si>
  <si>
    <t>WOS:000183287900018</t>
  </si>
  <si>
    <t>Dauby, P; Nyssen, F; De Broyer, C</t>
  </si>
  <si>
    <t>Amphipods as food sources for higher trophic levels in the Southern Ocean: a synthesis</t>
  </si>
  <si>
    <t>amphipods; top predators; Southern Ocean; model</t>
  </si>
  <si>
    <t>EASTERN WEDDELL SEA; BENTHIC AMPHIPODS; ANTARCTICA; DIVERSITY; ECOLOGY; IMPACT</t>
  </si>
  <si>
    <t>With more than 820 different species, among which about 75% endemics, the amphipod crustaceans form one of the richest animal group of the Southern Ocean. They have colonized most habitats and exhibit very diverse life styles and trophic types. They moreover show a broad size spectrum, with numerous giant species. Despite their importance in terms of biodiversity, very few is known about the role of amphipods in Antarctic trophodynamics. Based on an exhaustive literature survey (more than 300 references), we tried to delineate their importance as potential food for higher trophic levels. About 200 different predators were recorded: 33 invertebrates (from 12 orders), 101 fishes (19 families), 48 birds (11 families) and 10 mammals. Using this vast dataset (total amount of citations close to 1500) and published values about predators' standing stocks and feeding rates, an attempt was made to build up a small model, distinguishing between benthic and pelagic species of both amphipods and predators. The total amount of consumed amphipods was estimated to 60 millions of tons per year for the whole Southern Ocean, i.e. the second animal group in importance after euphausiids.</t>
  </si>
  <si>
    <t>Inst Royal Sci Nat Belgique, Dept Invertebrates Carcinol, B-1000 Brussels, Belgium</t>
  </si>
  <si>
    <t>Dauby, P (corresponding author), Inst Royal Sci Nat Belgique, Dept Invertebrates Carcinol, Rue Vautier 29, B-1000 Brussels, Belgium.</t>
  </si>
  <si>
    <t>WOS:000183287900019</t>
  </si>
  <si>
    <t>Held, C</t>
  </si>
  <si>
    <t>Molecular evidence for cryptic speciation within the widespread Antarctic crustacean Ceratoserolis trilobitoides (Crustacea, Isopoda)</t>
  </si>
  <si>
    <t>cryptic speciation; 16S rRNA; biogeography; Antarctica</t>
  </si>
  <si>
    <t>EMBRYONIC-DEVELOPMENT; WEDDELL SEA; SYSTEMATICS; PHYLOGENY; AMPHIPODS; DNA</t>
  </si>
  <si>
    <t>The controversial taxonomic status of Ceratoserolis trilobitoides (Eights 1833) is re-evaluated with sequences from the mitochondrial 16S ribosomal RNA gene. Within C. trilobitoides sensu Wagele 1986 two sharply distinct groups of haplotypes are present. The pairwise sequence divergence is small within the groups but large between them with no intermediate distances (less than or equal to0.7 vs. greater than or equal to5.8 percent corrected sequence divergence). The large inter-group distance persists also in areas where both types occur in sympatry. The amount of genetic diversity between the haplotypes is in the lower range of genetic distances between undisputed sister species of the same family for this gene. The molecular data therefore strongly suggest that Ceratoserolis trilobitoides sensu lato contains at least one, perhaps more, previously overlooked species. Accounts of C trilobitoides in the literature, especially from the Antarctic Peninsula, should therefore be taken with caution.</t>
  </si>
  <si>
    <t>Ruhr Univ Bochum, Dept Anim Morphol &amp; Systemat, D-44780 Bochum, Germany</t>
  </si>
  <si>
    <t>Ruhr University Bochum</t>
  </si>
  <si>
    <t>Ruhr Univ Bochum, Dept Anim Morphol &amp; Systemat, ND05-788, D-44780 Bochum, Germany.</t>
  </si>
  <si>
    <t>Christoph.Held@ruhr-uni-bochum.de</t>
  </si>
  <si>
    <t>Held, Christoph/0000-0001-8854-3234</t>
  </si>
  <si>
    <t>WOS:000183287900020</t>
  </si>
  <si>
    <t>Medakovic, D; Popovic, S; Manahan, DT</t>
  </si>
  <si>
    <t>Biominerals in embryos, pluteus and adult Antarctic sea urchins Sterechinus neumayeri</t>
  </si>
  <si>
    <t>Sterechinus neumayeri; sea urchin; pluteus larva; McMurdo; Antarctica; biomineralization</t>
  </si>
  <si>
    <t>X-RAY-DIFFRACTION; CARBONIC-ANHYDRASE ACTIVITY; PHASE-ANALYSIS; DOPING METHOD; LARVAE; CALCIFICATION; ECHINODERMS; EDULIS</t>
  </si>
  <si>
    <t>X-ray powder diffraction (XRD) was used to study the mineral composition of embryos, early pluteus and adult Antarctic sea urchins Sterechinus neumayeri. The contents of minerals were determined by quantitative X-ray phase analysis. The fraction of Mg in magnesium calcite was measured from the angular shifts of diffraction lines in relation to the angular position of the same diffraction lines of pure calcite. It was found that embryos and pluteus of S.neumayeri beside dominant amorphous components contained small amounts of calcite, traces of magnesite, dolomite, feldspars and amphiboles. Magnesium calcite was the dominant component of the skeleton and spines of adults. It was estimated that the fraction of Mg was 0.08+/-0.01 in spines and 0.13+/-0.02 in the skeleton. The adult urchin also contained in their calcified structures, like embryos and larvae, traces of feldspars and amphiboles. Such a combination of different minerals in invertebrate embryos, larvae or adults were not registered in recent literature.</t>
  </si>
  <si>
    <t>Ctr Marine Res Rovinj, Rudjer Boskovic Inst, Rovinj 52210, Croatia</t>
  </si>
  <si>
    <t>Rudjer Boskovic Institute</t>
  </si>
  <si>
    <t>Medakovic, D (corresponding author), Ctr Marine Res Rovinj, Rudjer Boskovic Inst, Rovinj 52210, Croatia.</t>
  </si>
  <si>
    <t>WOS:000183287900021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</si>
</sst>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74</v>
      </c>
      <c r="AA2" t="s">
        <v>74</v>
      </c>
      <c r="AB2" t="s">
        <v>84</v>
      </c>
      <c r="AC2" t="s">
        <v>74</v>
      </c>
      <c r="AD2" t="s">
        <v>74</v>
      </c>
      <c r="AE2" t="s">
        <v>74</v>
      </c>
      <c r="AF2" t="s">
        <v>74</v>
      </c>
      <c r="AG2">
        <v>80</v>
      </c>
      <c r="AH2">
        <v>291</v>
      </c>
      <c r="AI2">
        <v>311</v>
      </c>
      <c r="AJ2">
        <v>0</v>
      </c>
      <c r="AK2">
        <v>49</v>
      </c>
      <c r="AL2" t="s">
        <v>85</v>
      </c>
      <c r="AM2" t="s">
        <v>86</v>
      </c>
      <c r="AN2" t="s">
        <v>87</v>
      </c>
      <c r="AO2" t="s">
        <v>88</v>
      </c>
      <c r="AP2" t="s">
        <v>74</v>
      </c>
      <c r="AQ2" t="s">
        <v>74</v>
      </c>
      <c r="AR2" t="s">
        <v>89</v>
      </c>
      <c r="AS2" t="s">
        <v>90</v>
      </c>
      <c r="AT2" t="s">
        <v>91</v>
      </c>
      <c r="AU2">
        <v>2003</v>
      </c>
      <c r="AV2">
        <v>16</v>
      </c>
      <c r="AW2">
        <v>19</v>
      </c>
      <c r="AX2" t="s">
        <v>74</v>
      </c>
      <c r="AY2" t="s">
        <v>74</v>
      </c>
      <c r="AZ2" t="s">
        <v>74</v>
      </c>
      <c r="BA2" t="s">
        <v>74</v>
      </c>
      <c r="BB2">
        <v>3213</v>
      </c>
      <c r="BC2">
        <v>3226</v>
      </c>
      <c r="BD2" t="s">
        <v>74</v>
      </c>
      <c r="BE2" t="s">
        <v>92</v>
      </c>
      <c r="BF2" t="str">
        <f>HYPERLINK("http://dx.doi.org/10.1175/1520-0442(2003)016&lt;3213:DMOSFT&gt;2.0.CO;2","http://dx.doi.org/10.1175/1520-0442(2003)016&lt;3213:DMOSFT&gt;2.0.CO;2")</f>
        <v>http://dx.doi.org/10.1175/1520-0442(2003)016&lt;3213:DMOSFT&gt;2.0.CO;2</v>
      </c>
      <c r="BG2" t="s">
        <v>74</v>
      </c>
      <c r="BH2" t="s">
        <v>74</v>
      </c>
      <c r="BI2">
        <v>14</v>
      </c>
      <c r="BJ2" t="s">
        <v>93</v>
      </c>
      <c r="BK2" t="s">
        <v>94</v>
      </c>
      <c r="BL2" t="s">
        <v>93</v>
      </c>
      <c r="BM2" t="s">
        <v>95</v>
      </c>
      <c r="BN2" t="s">
        <v>74</v>
      </c>
      <c r="BO2" t="s">
        <v>96</v>
      </c>
      <c r="BP2" t="s">
        <v>74</v>
      </c>
      <c r="BQ2" t="s">
        <v>74</v>
      </c>
      <c r="BR2" t="s">
        <v>97</v>
      </c>
      <c r="BS2" t="s">
        <v>98</v>
      </c>
      <c r="BT2" t="str">
        <f>HYPERLINK("https%3A%2F%2Fwww.webofscience.com%2Fwos%2Fwoscc%2Ffull-record%2FWOS:000185707600008","View Full Record in Web of Science")</f>
        <v>View Full Record in Web of Science</v>
      </c>
    </row>
    <row r="3" spans="1:72" x14ac:dyDescent="0.15">
      <c r="A3" t="s">
        <v>72</v>
      </c>
      <c r="B3" t="s">
        <v>99</v>
      </c>
      <c r="C3" t="s">
        <v>74</v>
      </c>
      <c r="D3" t="s">
        <v>74</v>
      </c>
      <c r="E3" t="s">
        <v>74</v>
      </c>
      <c r="F3" t="s">
        <v>99</v>
      </c>
      <c r="G3" t="s">
        <v>74</v>
      </c>
      <c r="H3" t="s">
        <v>74</v>
      </c>
      <c r="I3" t="s">
        <v>100</v>
      </c>
      <c r="J3" t="s">
        <v>101</v>
      </c>
      <c r="K3" t="s">
        <v>74</v>
      </c>
      <c r="L3" t="s">
        <v>74</v>
      </c>
      <c r="M3" t="s">
        <v>77</v>
      </c>
      <c r="N3" t="s">
        <v>78</v>
      </c>
      <c r="O3" t="s">
        <v>74</v>
      </c>
      <c r="P3" t="s">
        <v>74</v>
      </c>
      <c r="Q3" t="s">
        <v>74</v>
      </c>
      <c r="R3" t="s">
        <v>74</v>
      </c>
      <c r="S3" t="s">
        <v>74</v>
      </c>
      <c r="T3" t="s">
        <v>102</v>
      </c>
      <c r="U3" t="s">
        <v>103</v>
      </c>
      <c r="V3" t="s">
        <v>104</v>
      </c>
      <c r="W3" t="s">
        <v>105</v>
      </c>
      <c r="X3" t="s">
        <v>106</v>
      </c>
      <c r="Y3" t="s">
        <v>107</v>
      </c>
      <c r="Z3" t="s">
        <v>74</v>
      </c>
      <c r="AA3" t="s">
        <v>108</v>
      </c>
      <c r="AB3" t="s">
        <v>109</v>
      </c>
      <c r="AC3" t="s">
        <v>74</v>
      </c>
      <c r="AD3" t="s">
        <v>74</v>
      </c>
      <c r="AE3" t="s">
        <v>74</v>
      </c>
      <c r="AF3" t="s">
        <v>74</v>
      </c>
      <c r="AG3">
        <v>44</v>
      </c>
      <c r="AH3">
        <v>10</v>
      </c>
      <c r="AI3">
        <v>12</v>
      </c>
      <c r="AJ3">
        <v>0</v>
      </c>
      <c r="AK3">
        <v>13</v>
      </c>
      <c r="AL3" t="s">
        <v>110</v>
      </c>
      <c r="AM3" t="s">
        <v>111</v>
      </c>
      <c r="AN3" t="s">
        <v>112</v>
      </c>
      <c r="AO3" t="s">
        <v>113</v>
      </c>
      <c r="AP3" t="s">
        <v>74</v>
      </c>
      <c r="AQ3" t="s">
        <v>74</v>
      </c>
      <c r="AR3" t="s">
        <v>114</v>
      </c>
      <c r="AS3" t="s">
        <v>115</v>
      </c>
      <c r="AT3" t="s">
        <v>91</v>
      </c>
      <c r="AU3">
        <v>2003</v>
      </c>
      <c r="AV3">
        <v>257</v>
      </c>
      <c r="AW3" t="s">
        <v>116</v>
      </c>
      <c r="AX3" t="s">
        <v>74</v>
      </c>
      <c r="AY3" t="s">
        <v>74</v>
      </c>
      <c r="AZ3" t="s">
        <v>74</v>
      </c>
      <c r="BA3" t="s">
        <v>74</v>
      </c>
      <c r="BB3">
        <v>412</v>
      </c>
      <c r="BC3">
        <v>426</v>
      </c>
      <c r="BD3" t="s">
        <v>74</v>
      </c>
      <c r="BE3" t="s">
        <v>117</v>
      </c>
      <c r="BF3" t="str">
        <f>HYPERLINK("http://dx.doi.org/10.1016/S0022-0248(03)01472-6","http://dx.doi.org/10.1016/S0022-0248(03)01472-6")</f>
        <v>http://dx.doi.org/10.1016/S0022-0248(03)01472-6</v>
      </c>
      <c r="BG3" t="s">
        <v>74</v>
      </c>
      <c r="BH3" t="s">
        <v>74</v>
      </c>
      <c r="BI3">
        <v>15</v>
      </c>
      <c r="BJ3" t="s">
        <v>118</v>
      </c>
      <c r="BK3" t="s">
        <v>94</v>
      </c>
      <c r="BL3" t="s">
        <v>119</v>
      </c>
      <c r="BM3" t="s">
        <v>120</v>
      </c>
      <c r="BN3" t="s">
        <v>74</v>
      </c>
      <c r="BO3" t="s">
        <v>74</v>
      </c>
      <c r="BP3" t="s">
        <v>74</v>
      </c>
      <c r="BQ3" t="s">
        <v>74</v>
      </c>
      <c r="BR3" t="s">
        <v>97</v>
      </c>
      <c r="BS3" t="s">
        <v>121</v>
      </c>
      <c r="BT3" t="str">
        <f>HYPERLINK("https%3A%2F%2Fwww.webofscience.com%2Fwos%2Fwoscc%2Ffull-record%2FWOS:000185407400029","View Full Record in Web of Science")</f>
        <v>View Full Record in Web of Science</v>
      </c>
    </row>
    <row r="4" spans="1:72" x14ac:dyDescent="0.15">
      <c r="A4" t="s">
        <v>72</v>
      </c>
      <c r="B4" t="s">
        <v>122</v>
      </c>
      <c r="C4" t="s">
        <v>74</v>
      </c>
      <c r="D4" t="s">
        <v>74</v>
      </c>
      <c r="E4" t="s">
        <v>74</v>
      </c>
      <c r="F4" t="s">
        <v>122</v>
      </c>
      <c r="G4" t="s">
        <v>74</v>
      </c>
      <c r="H4" t="s">
        <v>74</v>
      </c>
      <c r="I4" t="s">
        <v>123</v>
      </c>
      <c r="J4" t="s">
        <v>124</v>
      </c>
      <c r="K4" t="s">
        <v>74</v>
      </c>
      <c r="L4" t="s">
        <v>74</v>
      </c>
      <c r="M4" t="s">
        <v>77</v>
      </c>
      <c r="N4" t="s">
        <v>78</v>
      </c>
      <c r="O4" t="s">
        <v>74</v>
      </c>
      <c r="P4" t="s">
        <v>74</v>
      </c>
      <c r="Q4" t="s">
        <v>74</v>
      </c>
      <c r="R4" t="s">
        <v>74</v>
      </c>
      <c r="S4" t="s">
        <v>74</v>
      </c>
      <c r="T4" t="s">
        <v>125</v>
      </c>
      <c r="U4" t="s">
        <v>126</v>
      </c>
      <c r="V4" t="s">
        <v>127</v>
      </c>
      <c r="W4" t="s">
        <v>128</v>
      </c>
      <c r="X4" t="s">
        <v>129</v>
      </c>
      <c r="Y4" t="s">
        <v>130</v>
      </c>
      <c r="Z4" t="s">
        <v>74</v>
      </c>
      <c r="AA4" t="s">
        <v>74</v>
      </c>
      <c r="AB4" t="s">
        <v>74</v>
      </c>
      <c r="AC4" t="s">
        <v>74</v>
      </c>
      <c r="AD4" t="s">
        <v>74</v>
      </c>
      <c r="AE4" t="s">
        <v>74</v>
      </c>
      <c r="AF4" t="s">
        <v>74</v>
      </c>
      <c r="AG4">
        <v>35</v>
      </c>
      <c r="AH4">
        <v>30</v>
      </c>
      <c r="AI4">
        <v>32</v>
      </c>
      <c r="AJ4">
        <v>0</v>
      </c>
      <c r="AK4">
        <v>10</v>
      </c>
      <c r="AL4" t="s">
        <v>131</v>
      </c>
      <c r="AM4" t="s">
        <v>132</v>
      </c>
      <c r="AN4" t="s">
        <v>133</v>
      </c>
      <c r="AO4" t="s">
        <v>134</v>
      </c>
      <c r="AP4" t="s">
        <v>74</v>
      </c>
      <c r="AQ4" t="s">
        <v>74</v>
      </c>
      <c r="AR4" t="s">
        <v>135</v>
      </c>
      <c r="AS4" t="s">
        <v>136</v>
      </c>
      <c r="AT4" t="s">
        <v>91</v>
      </c>
      <c r="AU4">
        <v>2003</v>
      </c>
      <c r="AV4">
        <v>206</v>
      </c>
      <c r="AW4">
        <v>19</v>
      </c>
      <c r="AX4" t="s">
        <v>74</v>
      </c>
      <c r="AY4" t="s">
        <v>74</v>
      </c>
      <c r="AZ4" t="s">
        <v>74</v>
      </c>
      <c r="BA4" t="s">
        <v>74</v>
      </c>
      <c r="BB4">
        <v>3311</v>
      </c>
      <c r="BC4">
        <v>3326</v>
      </c>
      <c r="BD4" t="s">
        <v>74</v>
      </c>
      <c r="BE4" t="s">
        <v>137</v>
      </c>
      <c r="BF4" t="str">
        <f>HYPERLINK("http://dx.doi.org/10.1242/jeb.00575","http://dx.doi.org/10.1242/jeb.00575")</f>
        <v>http://dx.doi.org/10.1242/jeb.00575</v>
      </c>
      <c r="BG4" t="s">
        <v>74</v>
      </c>
      <c r="BH4" t="s">
        <v>74</v>
      </c>
      <c r="BI4">
        <v>16</v>
      </c>
      <c r="BJ4" t="s">
        <v>138</v>
      </c>
      <c r="BK4" t="s">
        <v>94</v>
      </c>
      <c r="BL4" t="s">
        <v>139</v>
      </c>
      <c r="BM4" t="s">
        <v>140</v>
      </c>
      <c r="BN4">
        <v>12939364</v>
      </c>
      <c r="BO4" t="s">
        <v>141</v>
      </c>
      <c r="BP4" t="s">
        <v>74</v>
      </c>
      <c r="BQ4" t="s">
        <v>74</v>
      </c>
      <c r="BR4" t="s">
        <v>97</v>
      </c>
      <c r="BS4" t="s">
        <v>142</v>
      </c>
      <c r="BT4" t="str">
        <f>HYPERLINK("https%3A%2F%2Fwww.webofscience.com%2Fwos%2Fwoscc%2Ffull-record%2FWOS:000187393400010","View Full Record in Web of Science")</f>
        <v>View Full Record in Web of Science</v>
      </c>
    </row>
    <row r="5" spans="1:72" x14ac:dyDescent="0.15">
      <c r="A5" t="s">
        <v>72</v>
      </c>
      <c r="B5" t="s">
        <v>143</v>
      </c>
      <c r="C5" t="s">
        <v>74</v>
      </c>
      <c r="D5" t="s">
        <v>74</v>
      </c>
      <c r="E5" t="s">
        <v>74</v>
      </c>
      <c r="F5" t="s">
        <v>143</v>
      </c>
      <c r="G5" t="s">
        <v>74</v>
      </c>
      <c r="H5" t="s">
        <v>74</v>
      </c>
      <c r="I5" t="s">
        <v>144</v>
      </c>
      <c r="J5" t="s">
        <v>124</v>
      </c>
      <c r="K5" t="s">
        <v>74</v>
      </c>
      <c r="L5" t="s">
        <v>74</v>
      </c>
      <c r="M5" t="s">
        <v>77</v>
      </c>
      <c r="N5" t="s">
        <v>78</v>
      </c>
      <c r="O5" t="s">
        <v>74</v>
      </c>
      <c r="P5" t="s">
        <v>74</v>
      </c>
      <c r="Q5" t="s">
        <v>74</v>
      </c>
      <c r="R5" t="s">
        <v>74</v>
      </c>
      <c r="S5" t="s">
        <v>74</v>
      </c>
      <c r="T5" t="s">
        <v>145</v>
      </c>
      <c r="U5" t="s">
        <v>146</v>
      </c>
      <c r="V5" t="s">
        <v>147</v>
      </c>
      <c r="W5" t="s">
        <v>148</v>
      </c>
      <c r="X5" t="s">
        <v>149</v>
      </c>
      <c r="Y5" t="s">
        <v>150</v>
      </c>
      <c r="Z5" t="s">
        <v>74</v>
      </c>
      <c r="AA5" t="s">
        <v>151</v>
      </c>
      <c r="AB5" t="s">
        <v>152</v>
      </c>
      <c r="AC5" t="s">
        <v>74</v>
      </c>
      <c r="AD5" t="s">
        <v>74</v>
      </c>
      <c r="AE5" t="s">
        <v>74</v>
      </c>
      <c r="AF5" t="s">
        <v>74</v>
      </c>
      <c r="AG5">
        <v>67</v>
      </c>
      <c r="AH5">
        <v>144</v>
      </c>
      <c r="AI5">
        <v>153</v>
      </c>
      <c r="AJ5">
        <v>2</v>
      </c>
      <c r="AK5">
        <v>43</v>
      </c>
      <c r="AL5" t="s">
        <v>131</v>
      </c>
      <c r="AM5" t="s">
        <v>132</v>
      </c>
      <c r="AN5" t="s">
        <v>133</v>
      </c>
      <c r="AO5" t="s">
        <v>134</v>
      </c>
      <c r="AP5" t="s">
        <v>74</v>
      </c>
      <c r="AQ5" t="s">
        <v>74</v>
      </c>
      <c r="AR5" t="s">
        <v>135</v>
      </c>
      <c r="AS5" t="s">
        <v>136</v>
      </c>
      <c r="AT5" t="s">
        <v>91</v>
      </c>
      <c r="AU5">
        <v>2003</v>
      </c>
      <c r="AV5">
        <v>206</v>
      </c>
      <c r="AW5">
        <v>19</v>
      </c>
      <c r="AX5" t="s">
        <v>74</v>
      </c>
      <c r="AY5" t="s">
        <v>74</v>
      </c>
      <c r="AZ5" t="s">
        <v>74</v>
      </c>
      <c r="BA5" t="s">
        <v>74</v>
      </c>
      <c r="BB5">
        <v>3405</v>
      </c>
      <c r="BC5">
        <v>3423</v>
      </c>
      <c r="BD5" t="s">
        <v>74</v>
      </c>
      <c r="BE5" t="s">
        <v>153</v>
      </c>
      <c r="BF5" t="str">
        <f>HYPERLINK("http://dx.doi.org/10.1242/jeb.00583","http://dx.doi.org/10.1242/jeb.00583")</f>
        <v>http://dx.doi.org/10.1242/jeb.00583</v>
      </c>
      <c r="BG5" t="s">
        <v>74</v>
      </c>
      <c r="BH5" t="s">
        <v>74</v>
      </c>
      <c r="BI5">
        <v>19</v>
      </c>
      <c r="BJ5" t="s">
        <v>138</v>
      </c>
      <c r="BK5" t="s">
        <v>94</v>
      </c>
      <c r="BL5" t="s">
        <v>139</v>
      </c>
      <c r="BM5" t="s">
        <v>140</v>
      </c>
      <c r="BN5">
        <v>12939372</v>
      </c>
      <c r="BO5" t="s">
        <v>154</v>
      </c>
      <c r="BP5" t="s">
        <v>74</v>
      </c>
      <c r="BQ5" t="s">
        <v>74</v>
      </c>
      <c r="BR5" t="s">
        <v>97</v>
      </c>
      <c r="BS5" t="s">
        <v>155</v>
      </c>
      <c r="BT5" t="str">
        <f>HYPERLINK("https%3A%2F%2Fwww.webofscience.com%2Fwos%2Fwoscc%2Ffull-record%2FWOS:000187393400018","View Full Record in Web of Science")</f>
        <v>View Full Record in Web of Science</v>
      </c>
    </row>
    <row r="6" spans="1:72" x14ac:dyDescent="0.15">
      <c r="A6" t="s">
        <v>72</v>
      </c>
      <c r="B6" t="s">
        <v>156</v>
      </c>
      <c r="C6" t="s">
        <v>74</v>
      </c>
      <c r="D6" t="s">
        <v>74</v>
      </c>
      <c r="E6" t="s">
        <v>74</v>
      </c>
      <c r="F6" t="s">
        <v>156</v>
      </c>
      <c r="G6" t="s">
        <v>74</v>
      </c>
      <c r="H6" t="s">
        <v>74</v>
      </c>
      <c r="I6" t="s">
        <v>157</v>
      </c>
      <c r="J6" t="s">
        <v>158</v>
      </c>
      <c r="K6" t="s">
        <v>74</v>
      </c>
      <c r="L6" t="s">
        <v>74</v>
      </c>
      <c r="M6" t="s">
        <v>77</v>
      </c>
      <c r="N6" t="s">
        <v>159</v>
      </c>
      <c r="O6" t="s">
        <v>160</v>
      </c>
      <c r="P6" t="s">
        <v>161</v>
      </c>
      <c r="Q6" t="s">
        <v>162</v>
      </c>
      <c r="R6" t="s">
        <v>74</v>
      </c>
      <c r="S6" t="s">
        <v>74</v>
      </c>
      <c r="T6" t="s">
        <v>74</v>
      </c>
      <c r="U6" t="s">
        <v>163</v>
      </c>
      <c r="V6" t="s">
        <v>164</v>
      </c>
      <c r="W6" t="s">
        <v>165</v>
      </c>
      <c r="X6" t="s">
        <v>166</v>
      </c>
      <c r="Y6" t="s">
        <v>167</v>
      </c>
      <c r="Z6" t="s">
        <v>168</v>
      </c>
      <c r="AA6" t="s">
        <v>74</v>
      </c>
      <c r="AB6" t="s">
        <v>74</v>
      </c>
      <c r="AC6" t="s">
        <v>74</v>
      </c>
      <c r="AD6" t="s">
        <v>74</v>
      </c>
      <c r="AE6" t="s">
        <v>74</v>
      </c>
      <c r="AF6" t="s">
        <v>74</v>
      </c>
      <c r="AG6">
        <v>9</v>
      </c>
      <c r="AH6">
        <v>0</v>
      </c>
      <c r="AI6">
        <v>0</v>
      </c>
      <c r="AJ6">
        <v>0</v>
      </c>
      <c r="AK6">
        <v>2</v>
      </c>
      <c r="AL6" t="s">
        <v>169</v>
      </c>
      <c r="AM6" t="s">
        <v>170</v>
      </c>
      <c r="AN6" t="s">
        <v>171</v>
      </c>
      <c r="AO6" t="s">
        <v>172</v>
      </c>
      <c r="AP6" t="s">
        <v>74</v>
      </c>
      <c r="AQ6" t="s">
        <v>74</v>
      </c>
      <c r="AR6" t="s">
        <v>173</v>
      </c>
      <c r="AS6" t="s">
        <v>174</v>
      </c>
      <c r="AT6" t="s">
        <v>91</v>
      </c>
      <c r="AU6">
        <v>2003</v>
      </c>
      <c r="AV6">
        <v>36</v>
      </c>
      <c r="AW6">
        <v>3</v>
      </c>
      <c r="AX6" t="s">
        <v>74</v>
      </c>
      <c r="AY6" t="s">
        <v>74</v>
      </c>
      <c r="AZ6" t="s">
        <v>74</v>
      </c>
      <c r="BA6" t="s">
        <v>74</v>
      </c>
      <c r="BB6">
        <v>359</v>
      </c>
      <c r="BC6">
        <v>367</v>
      </c>
      <c r="BD6" t="s">
        <v>74</v>
      </c>
      <c r="BE6" t="s">
        <v>175</v>
      </c>
      <c r="BF6" t="str">
        <f>HYPERLINK("http://dx.doi.org/10.1016/S0264-3707(03)00055-3","http://dx.doi.org/10.1016/S0264-3707(03)00055-3")</f>
        <v>http://dx.doi.org/10.1016/S0264-3707(03)00055-3</v>
      </c>
      <c r="BG6" t="s">
        <v>74</v>
      </c>
      <c r="BH6" t="s">
        <v>74</v>
      </c>
      <c r="BI6">
        <v>9</v>
      </c>
      <c r="BJ6" t="s">
        <v>176</v>
      </c>
      <c r="BK6" t="s">
        <v>177</v>
      </c>
      <c r="BL6" t="s">
        <v>176</v>
      </c>
      <c r="BM6" t="s">
        <v>178</v>
      </c>
      <c r="BN6" t="s">
        <v>74</v>
      </c>
      <c r="BO6" t="s">
        <v>74</v>
      </c>
      <c r="BP6" t="s">
        <v>74</v>
      </c>
      <c r="BQ6" t="s">
        <v>74</v>
      </c>
      <c r="BR6" t="s">
        <v>97</v>
      </c>
      <c r="BS6" t="s">
        <v>179</v>
      </c>
      <c r="BT6" t="str">
        <f>HYPERLINK("https%3A%2F%2Fwww.webofscience.com%2Fwos%2Fwoscc%2Ffull-record%2FWOS:000184653900003","View Full Record in Web of Science")</f>
        <v>View Full Record in Web of Science</v>
      </c>
    </row>
    <row r="7" spans="1:72" x14ac:dyDescent="0.15">
      <c r="A7" t="s">
        <v>72</v>
      </c>
      <c r="B7" t="s">
        <v>180</v>
      </c>
      <c r="C7" t="s">
        <v>74</v>
      </c>
      <c r="D7" t="s">
        <v>74</v>
      </c>
      <c r="E7" t="s">
        <v>74</v>
      </c>
      <c r="F7" t="s">
        <v>180</v>
      </c>
      <c r="G7" t="s">
        <v>74</v>
      </c>
      <c r="H7" t="s">
        <v>74</v>
      </c>
      <c r="I7" t="s">
        <v>181</v>
      </c>
      <c r="J7" t="s">
        <v>182</v>
      </c>
      <c r="K7" t="s">
        <v>74</v>
      </c>
      <c r="L7" t="s">
        <v>74</v>
      </c>
      <c r="M7" t="s">
        <v>77</v>
      </c>
      <c r="N7" t="s">
        <v>78</v>
      </c>
      <c r="O7" t="s">
        <v>74</v>
      </c>
      <c r="P7" t="s">
        <v>74</v>
      </c>
      <c r="Q7" t="s">
        <v>74</v>
      </c>
      <c r="R7" t="s">
        <v>74</v>
      </c>
      <c r="S7" t="s">
        <v>74</v>
      </c>
      <c r="T7" t="s">
        <v>74</v>
      </c>
      <c r="U7" t="s">
        <v>183</v>
      </c>
      <c r="V7" t="s">
        <v>184</v>
      </c>
      <c r="W7" t="s">
        <v>185</v>
      </c>
      <c r="X7" t="s">
        <v>186</v>
      </c>
      <c r="Y7" t="s">
        <v>187</v>
      </c>
      <c r="Z7" t="s">
        <v>74</v>
      </c>
      <c r="AA7" t="s">
        <v>74</v>
      </c>
      <c r="AB7" t="s">
        <v>74</v>
      </c>
      <c r="AC7" t="s">
        <v>74</v>
      </c>
      <c r="AD7" t="s">
        <v>74</v>
      </c>
      <c r="AE7" t="s">
        <v>74</v>
      </c>
      <c r="AF7" t="s">
        <v>74</v>
      </c>
      <c r="AG7">
        <v>44</v>
      </c>
      <c r="AH7">
        <v>23</v>
      </c>
      <c r="AI7">
        <v>25</v>
      </c>
      <c r="AJ7">
        <v>0</v>
      </c>
      <c r="AK7">
        <v>6</v>
      </c>
      <c r="AL7" t="s">
        <v>188</v>
      </c>
      <c r="AM7" t="s">
        <v>170</v>
      </c>
      <c r="AN7" t="s">
        <v>189</v>
      </c>
      <c r="AO7" t="s">
        <v>190</v>
      </c>
      <c r="AP7" t="s">
        <v>74</v>
      </c>
      <c r="AQ7" t="s">
        <v>74</v>
      </c>
      <c r="AR7" t="s">
        <v>191</v>
      </c>
      <c r="AS7" t="s">
        <v>192</v>
      </c>
      <c r="AT7" t="s">
        <v>91</v>
      </c>
      <c r="AU7">
        <v>2003</v>
      </c>
      <c r="AV7">
        <v>25</v>
      </c>
      <c r="AW7">
        <v>10</v>
      </c>
      <c r="AX7" t="s">
        <v>74</v>
      </c>
      <c r="AY7" t="s">
        <v>74</v>
      </c>
      <c r="AZ7" t="s">
        <v>74</v>
      </c>
      <c r="BA7" t="s">
        <v>74</v>
      </c>
      <c r="BB7">
        <v>1279</v>
      </c>
      <c r="BC7">
        <v>1289</v>
      </c>
      <c r="BD7" t="s">
        <v>74</v>
      </c>
      <c r="BE7" t="s">
        <v>193</v>
      </c>
      <c r="BF7" t="str">
        <f>HYPERLINK("http://dx.doi.org/10.1093/plankt/fbg085","http://dx.doi.org/10.1093/plankt/fbg085")</f>
        <v>http://dx.doi.org/10.1093/plankt/fbg085</v>
      </c>
      <c r="BG7" t="s">
        <v>74</v>
      </c>
      <c r="BH7" t="s">
        <v>74</v>
      </c>
      <c r="BI7">
        <v>11</v>
      </c>
      <c r="BJ7" t="s">
        <v>194</v>
      </c>
      <c r="BK7" t="s">
        <v>94</v>
      </c>
      <c r="BL7" t="s">
        <v>194</v>
      </c>
      <c r="BM7" t="s">
        <v>195</v>
      </c>
      <c r="BN7" t="s">
        <v>74</v>
      </c>
      <c r="BO7" t="s">
        <v>74</v>
      </c>
      <c r="BP7" t="s">
        <v>74</v>
      </c>
      <c r="BQ7" t="s">
        <v>74</v>
      </c>
      <c r="BR7" t="s">
        <v>97</v>
      </c>
      <c r="BS7" t="s">
        <v>196</v>
      </c>
      <c r="BT7" t="str">
        <f>HYPERLINK("https%3A%2F%2Fwww.webofscience.com%2Fwos%2Fwoscc%2Ffull-record%2FWOS:000186030900007","View Full Record in Web of Science")</f>
        <v>View Full Record in Web of Science</v>
      </c>
    </row>
    <row r="8" spans="1:72" x14ac:dyDescent="0.15">
      <c r="A8" t="s">
        <v>72</v>
      </c>
      <c r="B8" t="s">
        <v>197</v>
      </c>
      <c r="C8" t="s">
        <v>74</v>
      </c>
      <c r="D8" t="s">
        <v>74</v>
      </c>
      <c r="E8" t="s">
        <v>74</v>
      </c>
      <c r="F8" t="s">
        <v>197</v>
      </c>
      <c r="G8" t="s">
        <v>74</v>
      </c>
      <c r="H8" t="s">
        <v>74</v>
      </c>
      <c r="I8" t="s">
        <v>198</v>
      </c>
      <c r="J8" t="s">
        <v>199</v>
      </c>
      <c r="K8" t="s">
        <v>74</v>
      </c>
      <c r="L8" t="s">
        <v>74</v>
      </c>
      <c r="M8" t="s">
        <v>77</v>
      </c>
      <c r="N8" t="s">
        <v>78</v>
      </c>
      <c r="O8" t="s">
        <v>74</v>
      </c>
      <c r="P8" t="s">
        <v>74</v>
      </c>
      <c r="Q8" t="s">
        <v>74</v>
      </c>
      <c r="R8" t="s">
        <v>74</v>
      </c>
      <c r="S8" t="s">
        <v>74</v>
      </c>
      <c r="T8" t="s">
        <v>74</v>
      </c>
      <c r="U8" t="s">
        <v>200</v>
      </c>
      <c r="V8" t="s">
        <v>201</v>
      </c>
      <c r="W8" t="s">
        <v>202</v>
      </c>
      <c r="X8" t="s">
        <v>203</v>
      </c>
      <c r="Y8" t="s">
        <v>204</v>
      </c>
      <c r="Z8" t="s">
        <v>74</v>
      </c>
      <c r="AA8" t="s">
        <v>205</v>
      </c>
      <c r="AB8" t="s">
        <v>206</v>
      </c>
      <c r="AC8" t="s">
        <v>74</v>
      </c>
      <c r="AD8" t="s">
        <v>74</v>
      </c>
      <c r="AE8" t="s">
        <v>74</v>
      </c>
      <c r="AF8" t="s">
        <v>74</v>
      </c>
      <c r="AG8">
        <v>13</v>
      </c>
      <c r="AH8">
        <v>21</v>
      </c>
      <c r="AI8">
        <v>21</v>
      </c>
      <c r="AJ8">
        <v>0</v>
      </c>
      <c r="AK8">
        <v>11</v>
      </c>
      <c r="AL8" t="s">
        <v>207</v>
      </c>
      <c r="AM8" t="s">
        <v>208</v>
      </c>
      <c r="AN8" t="s">
        <v>209</v>
      </c>
      <c r="AO8" t="s">
        <v>210</v>
      </c>
      <c r="AP8" t="s">
        <v>211</v>
      </c>
      <c r="AQ8" t="s">
        <v>74</v>
      </c>
      <c r="AR8" t="s">
        <v>212</v>
      </c>
      <c r="AS8" t="s">
        <v>213</v>
      </c>
      <c r="AT8" t="s">
        <v>91</v>
      </c>
      <c r="AU8">
        <v>2003</v>
      </c>
      <c r="AV8">
        <v>258</v>
      </c>
      <c r="AW8">
        <v>2</v>
      </c>
      <c r="AX8" t="s">
        <v>74</v>
      </c>
      <c r="AY8" t="s">
        <v>74</v>
      </c>
      <c r="AZ8" t="s">
        <v>74</v>
      </c>
      <c r="BA8" t="s">
        <v>74</v>
      </c>
      <c r="BB8">
        <v>221</v>
      </c>
      <c r="BC8">
        <v>225</v>
      </c>
      <c r="BD8" t="s">
        <v>74</v>
      </c>
      <c r="BE8" t="s">
        <v>214</v>
      </c>
      <c r="BF8" t="str">
        <f>HYPERLINK("http://dx.doi.org/10.1023/A:1026213132452","http://dx.doi.org/10.1023/A:1026213132452")</f>
        <v>http://dx.doi.org/10.1023/A:1026213132452</v>
      </c>
      <c r="BG8" t="s">
        <v>74</v>
      </c>
      <c r="BH8" t="s">
        <v>74</v>
      </c>
      <c r="BI8">
        <v>5</v>
      </c>
      <c r="BJ8" t="s">
        <v>215</v>
      </c>
      <c r="BK8" t="s">
        <v>94</v>
      </c>
      <c r="BL8" t="s">
        <v>216</v>
      </c>
      <c r="BM8" t="s">
        <v>217</v>
      </c>
      <c r="BN8" t="s">
        <v>74</v>
      </c>
      <c r="BO8" t="s">
        <v>74</v>
      </c>
      <c r="BP8" t="s">
        <v>74</v>
      </c>
      <c r="BQ8" t="s">
        <v>74</v>
      </c>
      <c r="BR8" t="s">
        <v>97</v>
      </c>
      <c r="BS8" t="s">
        <v>218</v>
      </c>
      <c r="BT8" t="str">
        <f>HYPERLINK("https%3A%2F%2Fwww.webofscience.com%2Fwos%2Fwoscc%2Ffull-record%2FWOS:000186044600003","View Full Record in Web of Science")</f>
        <v>View Full Record in Web of Science</v>
      </c>
    </row>
    <row r="9" spans="1:72" x14ac:dyDescent="0.15">
      <c r="A9" t="s">
        <v>72</v>
      </c>
      <c r="B9" t="s">
        <v>219</v>
      </c>
      <c r="C9" t="s">
        <v>74</v>
      </c>
      <c r="D9" t="s">
        <v>74</v>
      </c>
      <c r="E9" t="s">
        <v>74</v>
      </c>
      <c r="F9" t="s">
        <v>219</v>
      </c>
      <c r="G9" t="s">
        <v>74</v>
      </c>
      <c r="H9" t="s">
        <v>74</v>
      </c>
      <c r="I9" t="s">
        <v>220</v>
      </c>
      <c r="J9" t="s">
        <v>221</v>
      </c>
      <c r="K9" t="s">
        <v>74</v>
      </c>
      <c r="L9" t="s">
        <v>74</v>
      </c>
      <c r="M9" t="s">
        <v>77</v>
      </c>
      <c r="N9" t="s">
        <v>78</v>
      </c>
      <c r="O9" t="s">
        <v>74</v>
      </c>
      <c r="P9" t="s">
        <v>74</v>
      </c>
      <c r="Q9" t="s">
        <v>74</v>
      </c>
      <c r="R9" t="s">
        <v>74</v>
      </c>
      <c r="S9" t="s">
        <v>74</v>
      </c>
      <c r="T9" t="s">
        <v>74</v>
      </c>
      <c r="U9" t="s">
        <v>74</v>
      </c>
      <c r="V9" t="s">
        <v>222</v>
      </c>
      <c r="W9" t="s">
        <v>223</v>
      </c>
      <c r="X9" t="s">
        <v>224</v>
      </c>
      <c r="Y9" t="s">
        <v>225</v>
      </c>
      <c r="Z9" t="s">
        <v>74</v>
      </c>
      <c r="AA9" t="s">
        <v>226</v>
      </c>
      <c r="AB9" t="s">
        <v>227</v>
      </c>
      <c r="AC9" t="s">
        <v>74</v>
      </c>
      <c r="AD9" t="s">
        <v>74</v>
      </c>
      <c r="AE9" t="s">
        <v>74</v>
      </c>
      <c r="AF9" t="s">
        <v>74</v>
      </c>
      <c r="AG9">
        <v>10</v>
      </c>
      <c r="AH9">
        <v>13</v>
      </c>
      <c r="AI9">
        <v>15</v>
      </c>
      <c r="AJ9">
        <v>0</v>
      </c>
      <c r="AK9">
        <v>3</v>
      </c>
      <c r="AL9" t="s">
        <v>228</v>
      </c>
      <c r="AM9" t="s">
        <v>229</v>
      </c>
      <c r="AN9" t="s">
        <v>230</v>
      </c>
      <c r="AO9" t="s">
        <v>231</v>
      </c>
      <c r="AP9" t="s">
        <v>74</v>
      </c>
      <c r="AQ9" t="s">
        <v>74</v>
      </c>
      <c r="AR9" t="s">
        <v>232</v>
      </c>
      <c r="AS9" t="s">
        <v>233</v>
      </c>
      <c r="AT9" t="s">
        <v>91</v>
      </c>
      <c r="AU9">
        <v>2003</v>
      </c>
      <c r="AV9">
        <v>83</v>
      </c>
      <c r="AW9">
        <v>5</v>
      </c>
      <c r="AX9" t="s">
        <v>74</v>
      </c>
      <c r="AY9" t="s">
        <v>74</v>
      </c>
      <c r="AZ9" t="s">
        <v>74</v>
      </c>
      <c r="BA9" t="s">
        <v>74</v>
      </c>
      <c r="BB9">
        <v>1099</v>
      </c>
      <c r="BC9">
        <v>1100</v>
      </c>
      <c r="BD9" t="s">
        <v>74</v>
      </c>
      <c r="BE9" t="s">
        <v>234</v>
      </c>
      <c r="BF9" t="str">
        <f>HYPERLINK("http://dx.doi.org/10.1017/S0025315403008324h","http://dx.doi.org/10.1017/S0025315403008324h")</f>
        <v>http://dx.doi.org/10.1017/S0025315403008324h</v>
      </c>
      <c r="BG9" t="s">
        <v>74</v>
      </c>
      <c r="BH9" t="s">
        <v>74</v>
      </c>
      <c r="BI9">
        <v>2</v>
      </c>
      <c r="BJ9" t="s">
        <v>235</v>
      </c>
      <c r="BK9" t="s">
        <v>94</v>
      </c>
      <c r="BL9" t="s">
        <v>235</v>
      </c>
      <c r="BM9" t="s">
        <v>236</v>
      </c>
      <c r="BN9" t="s">
        <v>74</v>
      </c>
      <c r="BO9" t="s">
        <v>74</v>
      </c>
      <c r="BP9" t="s">
        <v>74</v>
      </c>
      <c r="BQ9" t="s">
        <v>74</v>
      </c>
      <c r="BR9" t="s">
        <v>97</v>
      </c>
      <c r="BS9" t="s">
        <v>237</v>
      </c>
      <c r="BT9" t="str">
        <f>HYPERLINK("https%3A%2F%2Fwww.webofscience.com%2Fwos%2Fwoscc%2Ffull-record%2FWOS:000186421900032","View Full Record in Web of Science")</f>
        <v>View Full Record in Web of Science</v>
      </c>
    </row>
    <row r="10" spans="1:72" x14ac:dyDescent="0.15">
      <c r="A10" t="s">
        <v>72</v>
      </c>
      <c r="B10" t="s">
        <v>238</v>
      </c>
      <c r="C10" t="s">
        <v>74</v>
      </c>
      <c r="D10" t="s">
        <v>74</v>
      </c>
      <c r="E10" t="s">
        <v>74</v>
      </c>
      <c r="F10" t="s">
        <v>238</v>
      </c>
      <c r="G10" t="s">
        <v>74</v>
      </c>
      <c r="H10" t="s">
        <v>74</v>
      </c>
      <c r="I10" t="s">
        <v>239</v>
      </c>
      <c r="J10" t="s">
        <v>240</v>
      </c>
      <c r="K10" t="s">
        <v>74</v>
      </c>
      <c r="L10" t="s">
        <v>74</v>
      </c>
      <c r="M10" t="s">
        <v>77</v>
      </c>
      <c r="N10" t="s">
        <v>78</v>
      </c>
      <c r="O10" t="s">
        <v>74</v>
      </c>
      <c r="P10" t="s">
        <v>74</v>
      </c>
      <c r="Q10" t="s">
        <v>74</v>
      </c>
      <c r="R10" t="s">
        <v>74</v>
      </c>
      <c r="S10" t="s">
        <v>74</v>
      </c>
      <c r="T10" t="s">
        <v>241</v>
      </c>
      <c r="U10" t="s">
        <v>242</v>
      </c>
      <c r="V10" t="s">
        <v>243</v>
      </c>
      <c r="W10" t="s">
        <v>244</v>
      </c>
      <c r="X10" t="s">
        <v>245</v>
      </c>
      <c r="Y10" t="s">
        <v>246</v>
      </c>
      <c r="Z10" t="s">
        <v>247</v>
      </c>
      <c r="AA10" t="s">
        <v>248</v>
      </c>
      <c r="AB10" t="s">
        <v>249</v>
      </c>
      <c r="AC10" t="s">
        <v>74</v>
      </c>
      <c r="AD10" t="s">
        <v>74</v>
      </c>
      <c r="AE10" t="s">
        <v>74</v>
      </c>
      <c r="AF10" t="s">
        <v>74</v>
      </c>
      <c r="AG10">
        <v>44</v>
      </c>
      <c r="AH10">
        <v>80</v>
      </c>
      <c r="AI10">
        <v>89</v>
      </c>
      <c r="AJ10">
        <v>4</v>
      </c>
      <c r="AK10">
        <v>65</v>
      </c>
      <c r="AL10" t="s">
        <v>250</v>
      </c>
      <c r="AM10" t="s">
        <v>251</v>
      </c>
      <c r="AN10" t="s">
        <v>252</v>
      </c>
      <c r="AO10" t="s">
        <v>253</v>
      </c>
      <c r="AP10" t="s">
        <v>254</v>
      </c>
      <c r="AQ10" t="s">
        <v>74</v>
      </c>
      <c r="AR10" t="s">
        <v>255</v>
      </c>
      <c r="AS10" t="s">
        <v>256</v>
      </c>
      <c r="AT10" t="s">
        <v>91</v>
      </c>
      <c r="AU10">
        <v>2003</v>
      </c>
      <c r="AV10">
        <v>261</v>
      </c>
      <c r="AW10" t="s">
        <v>74</v>
      </c>
      <c r="AX10">
        <v>2</v>
      </c>
      <c r="AY10" t="s">
        <v>74</v>
      </c>
      <c r="AZ10" t="s">
        <v>74</v>
      </c>
      <c r="BA10" t="s">
        <v>74</v>
      </c>
      <c r="BB10">
        <v>155</v>
      </c>
      <c r="BC10">
        <v>163</v>
      </c>
      <c r="BD10" t="s">
        <v>74</v>
      </c>
      <c r="BE10" t="s">
        <v>257</v>
      </c>
      <c r="BF10" t="str">
        <f>HYPERLINK("http://dx.doi.org/10.1017/S0952836903004047","http://dx.doi.org/10.1017/S0952836903004047")</f>
        <v>http://dx.doi.org/10.1017/S0952836903004047</v>
      </c>
      <c r="BG10" t="s">
        <v>74</v>
      </c>
      <c r="BH10" t="s">
        <v>74</v>
      </c>
      <c r="BI10">
        <v>9</v>
      </c>
      <c r="BJ10" t="s">
        <v>258</v>
      </c>
      <c r="BK10" t="s">
        <v>94</v>
      </c>
      <c r="BL10" t="s">
        <v>258</v>
      </c>
      <c r="BM10" t="s">
        <v>259</v>
      </c>
      <c r="BN10" t="s">
        <v>74</v>
      </c>
      <c r="BO10" t="s">
        <v>74</v>
      </c>
      <c r="BP10" t="s">
        <v>74</v>
      </c>
      <c r="BQ10" t="s">
        <v>74</v>
      </c>
      <c r="BR10" t="s">
        <v>97</v>
      </c>
      <c r="BS10" t="s">
        <v>260</v>
      </c>
      <c r="BT10" t="str">
        <f>HYPERLINK("https%3A%2F%2Fwww.webofscience.com%2Fwos%2Fwoscc%2Ffull-record%2FWOS:000186327700005","View Full Record in Web of Science")</f>
        <v>View Full Record in Web of Science</v>
      </c>
    </row>
    <row r="11" spans="1:72" x14ac:dyDescent="0.15">
      <c r="A11" t="s">
        <v>72</v>
      </c>
      <c r="B11" t="s">
        <v>261</v>
      </c>
      <c r="C11" t="s">
        <v>74</v>
      </c>
      <c r="D11" t="s">
        <v>74</v>
      </c>
      <c r="E11" t="s">
        <v>74</v>
      </c>
      <c r="F11" t="s">
        <v>261</v>
      </c>
      <c r="G11" t="s">
        <v>74</v>
      </c>
      <c r="H11" t="s">
        <v>74</v>
      </c>
      <c r="I11" t="s">
        <v>262</v>
      </c>
      <c r="J11" t="s">
        <v>263</v>
      </c>
      <c r="K11" t="s">
        <v>74</v>
      </c>
      <c r="L11" t="s">
        <v>74</v>
      </c>
      <c r="M11" t="s">
        <v>77</v>
      </c>
      <c r="N11" t="s">
        <v>78</v>
      </c>
      <c r="O11" t="s">
        <v>74</v>
      </c>
      <c r="P11" t="s">
        <v>74</v>
      </c>
      <c r="Q11" t="s">
        <v>74</v>
      </c>
      <c r="R11" t="s">
        <v>74</v>
      </c>
      <c r="S11" t="s">
        <v>74</v>
      </c>
      <c r="T11" t="s">
        <v>264</v>
      </c>
      <c r="U11" t="s">
        <v>265</v>
      </c>
      <c r="V11" t="s">
        <v>266</v>
      </c>
      <c r="W11" t="s">
        <v>267</v>
      </c>
      <c r="X11" t="s">
        <v>268</v>
      </c>
      <c r="Y11" t="s">
        <v>269</v>
      </c>
      <c r="Z11" t="s">
        <v>270</v>
      </c>
      <c r="AA11" t="s">
        <v>74</v>
      </c>
      <c r="AB11" t="s">
        <v>74</v>
      </c>
      <c r="AC11" t="s">
        <v>74</v>
      </c>
      <c r="AD11" t="s">
        <v>74</v>
      </c>
      <c r="AE11" t="s">
        <v>74</v>
      </c>
      <c r="AF11" t="s">
        <v>74</v>
      </c>
      <c r="AG11">
        <v>18</v>
      </c>
      <c r="AH11">
        <v>207</v>
      </c>
      <c r="AI11">
        <v>232</v>
      </c>
      <c r="AJ11">
        <v>0</v>
      </c>
      <c r="AK11">
        <v>17</v>
      </c>
      <c r="AL11" t="s">
        <v>250</v>
      </c>
      <c r="AM11" t="s">
        <v>251</v>
      </c>
      <c r="AN11" t="s">
        <v>252</v>
      </c>
      <c r="AO11" t="s">
        <v>271</v>
      </c>
      <c r="AP11" t="s">
        <v>272</v>
      </c>
      <c r="AQ11" t="s">
        <v>74</v>
      </c>
      <c r="AR11" t="s">
        <v>273</v>
      </c>
      <c r="AS11" t="s">
        <v>274</v>
      </c>
      <c r="AT11" t="s">
        <v>91</v>
      </c>
      <c r="AU11">
        <v>2003</v>
      </c>
      <c r="AV11">
        <v>160</v>
      </c>
      <c r="AW11">
        <v>1</v>
      </c>
      <c r="AX11" t="s">
        <v>74</v>
      </c>
      <c r="AY11" t="s">
        <v>74</v>
      </c>
      <c r="AZ11" t="s">
        <v>74</v>
      </c>
      <c r="BA11" t="s">
        <v>74</v>
      </c>
      <c r="BB11">
        <v>43</v>
      </c>
      <c r="BC11">
        <v>48</v>
      </c>
      <c r="BD11" t="s">
        <v>74</v>
      </c>
      <c r="BE11" t="s">
        <v>275</v>
      </c>
      <c r="BF11" t="str">
        <f>HYPERLINK("http://dx.doi.org/10.1046/j.1469-8137.2003.00861.x","http://dx.doi.org/10.1046/j.1469-8137.2003.00861.x")</f>
        <v>http://dx.doi.org/10.1046/j.1469-8137.2003.00861.x</v>
      </c>
      <c r="BG11" t="s">
        <v>74</v>
      </c>
      <c r="BH11" t="s">
        <v>74</v>
      </c>
      <c r="BI11">
        <v>6</v>
      </c>
      <c r="BJ11" t="s">
        <v>276</v>
      </c>
      <c r="BK11" t="s">
        <v>94</v>
      </c>
      <c r="BL11" t="s">
        <v>276</v>
      </c>
      <c r="BM11" t="s">
        <v>277</v>
      </c>
      <c r="BN11">
        <v>33873520</v>
      </c>
      <c r="BO11" t="s">
        <v>74</v>
      </c>
      <c r="BP11" t="s">
        <v>74</v>
      </c>
      <c r="BQ11" t="s">
        <v>74</v>
      </c>
      <c r="BR11" t="s">
        <v>97</v>
      </c>
      <c r="BS11" t="s">
        <v>278</v>
      </c>
      <c r="BT11" t="str">
        <f>HYPERLINK("https%3A%2F%2Fwww.webofscience.com%2Fwos%2Fwoscc%2Ffull-record%2FWOS:000185557300008","View Full Record in Web of Science")</f>
        <v>View Full Record in Web of Science</v>
      </c>
    </row>
    <row r="12" spans="1:72" x14ac:dyDescent="0.15">
      <c r="A12" t="s">
        <v>72</v>
      </c>
      <c r="B12" t="s">
        <v>279</v>
      </c>
      <c r="C12" t="s">
        <v>74</v>
      </c>
      <c r="D12" t="s">
        <v>74</v>
      </c>
      <c r="E12" t="s">
        <v>74</v>
      </c>
      <c r="F12" t="s">
        <v>279</v>
      </c>
      <c r="G12" t="s">
        <v>74</v>
      </c>
      <c r="H12" t="s">
        <v>74</v>
      </c>
      <c r="I12" t="s">
        <v>280</v>
      </c>
      <c r="J12" t="s">
        <v>263</v>
      </c>
      <c r="K12" t="s">
        <v>74</v>
      </c>
      <c r="L12" t="s">
        <v>74</v>
      </c>
      <c r="M12" t="s">
        <v>77</v>
      </c>
      <c r="N12" t="s">
        <v>78</v>
      </c>
      <c r="O12" t="s">
        <v>74</v>
      </c>
      <c r="P12" t="s">
        <v>74</v>
      </c>
      <c r="Q12" t="s">
        <v>74</v>
      </c>
      <c r="R12" t="s">
        <v>74</v>
      </c>
      <c r="S12" t="s">
        <v>74</v>
      </c>
      <c r="T12" t="s">
        <v>281</v>
      </c>
      <c r="U12" t="s">
        <v>282</v>
      </c>
      <c r="V12" t="s">
        <v>283</v>
      </c>
      <c r="W12" t="s">
        <v>284</v>
      </c>
      <c r="X12" t="s">
        <v>285</v>
      </c>
      <c r="Y12" t="s">
        <v>286</v>
      </c>
      <c r="Z12" t="s">
        <v>74</v>
      </c>
      <c r="AA12" t="s">
        <v>287</v>
      </c>
      <c r="AB12" t="s">
        <v>288</v>
      </c>
      <c r="AC12" t="s">
        <v>74</v>
      </c>
      <c r="AD12" t="s">
        <v>74</v>
      </c>
      <c r="AE12" t="s">
        <v>74</v>
      </c>
      <c r="AF12" t="s">
        <v>74</v>
      </c>
      <c r="AG12">
        <v>31</v>
      </c>
      <c r="AH12">
        <v>86</v>
      </c>
      <c r="AI12">
        <v>93</v>
      </c>
      <c r="AJ12">
        <v>1</v>
      </c>
      <c r="AK12">
        <v>31</v>
      </c>
      <c r="AL12" t="s">
        <v>289</v>
      </c>
      <c r="AM12" t="s">
        <v>170</v>
      </c>
      <c r="AN12" t="s">
        <v>290</v>
      </c>
      <c r="AO12" t="s">
        <v>271</v>
      </c>
      <c r="AP12" t="s">
        <v>74</v>
      </c>
      <c r="AQ12" t="s">
        <v>74</v>
      </c>
      <c r="AR12" t="s">
        <v>273</v>
      </c>
      <c r="AS12" t="s">
        <v>274</v>
      </c>
      <c r="AT12" t="s">
        <v>91</v>
      </c>
      <c r="AU12">
        <v>2003</v>
      </c>
      <c r="AV12">
        <v>160</v>
      </c>
      <c r="AW12">
        <v>1</v>
      </c>
      <c r="AX12" t="s">
        <v>74</v>
      </c>
      <c r="AY12" t="s">
        <v>74</v>
      </c>
      <c r="AZ12" t="s">
        <v>74</v>
      </c>
      <c r="BA12" t="s">
        <v>74</v>
      </c>
      <c r="BB12">
        <v>177</v>
      </c>
      <c r="BC12">
        <v>183</v>
      </c>
      <c r="BD12" t="s">
        <v>74</v>
      </c>
      <c r="BE12" t="s">
        <v>291</v>
      </c>
      <c r="BF12" t="str">
        <f>HYPERLINK("http://dx.doi.org/10.1046/j.1469-8137.2003.00859.x","http://dx.doi.org/10.1046/j.1469-8137.2003.00859.x")</f>
        <v>http://dx.doi.org/10.1046/j.1469-8137.2003.00859.x</v>
      </c>
      <c r="BG12" t="s">
        <v>74</v>
      </c>
      <c r="BH12" t="s">
        <v>74</v>
      </c>
      <c r="BI12">
        <v>7</v>
      </c>
      <c r="BJ12" t="s">
        <v>276</v>
      </c>
      <c r="BK12" t="s">
        <v>94</v>
      </c>
      <c r="BL12" t="s">
        <v>276</v>
      </c>
      <c r="BM12" t="s">
        <v>277</v>
      </c>
      <c r="BN12">
        <v>33873530</v>
      </c>
      <c r="BO12" t="s">
        <v>96</v>
      </c>
      <c r="BP12" t="s">
        <v>74</v>
      </c>
      <c r="BQ12" t="s">
        <v>74</v>
      </c>
      <c r="BR12" t="s">
        <v>97</v>
      </c>
      <c r="BS12" t="s">
        <v>292</v>
      </c>
      <c r="BT12" t="str">
        <f>HYPERLINK("https%3A%2F%2Fwww.webofscience.com%2Fwos%2Fwoscc%2Ffull-record%2FWOS:000185557300021","View Full Record in Web of Science")</f>
        <v>View Full Record in Web of Science</v>
      </c>
    </row>
    <row r="13" spans="1:72" x14ac:dyDescent="0.15">
      <c r="A13" t="s">
        <v>72</v>
      </c>
      <c r="B13" t="s">
        <v>293</v>
      </c>
      <c r="C13" t="s">
        <v>74</v>
      </c>
      <c r="D13" t="s">
        <v>74</v>
      </c>
      <c r="E13" t="s">
        <v>74</v>
      </c>
      <c r="F13" t="s">
        <v>293</v>
      </c>
      <c r="G13" t="s">
        <v>74</v>
      </c>
      <c r="H13" t="s">
        <v>74</v>
      </c>
      <c r="I13" t="s">
        <v>294</v>
      </c>
      <c r="J13" t="s">
        <v>295</v>
      </c>
      <c r="K13" t="s">
        <v>74</v>
      </c>
      <c r="L13" t="s">
        <v>74</v>
      </c>
      <c r="M13" t="s">
        <v>77</v>
      </c>
      <c r="N13" t="s">
        <v>78</v>
      </c>
      <c r="O13" t="s">
        <v>74</v>
      </c>
      <c r="P13" t="s">
        <v>74</v>
      </c>
      <c r="Q13" t="s">
        <v>74</v>
      </c>
      <c r="R13" t="s">
        <v>74</v>
      </c>
      <c r="S13" t="s">
        <v>74</v>
      </c>
      <c r="T13" t="s">
        <v>74</v>
      </c>
      <c r="U13" t="s">
        <v>296</v>
      </c>
      <c r="V13" t="s">
        <v>297</v>
      </c>
      <c r="W13" t="s">
        <v>298</v>
      </c>
      <c r="X13" t="s">
        <v>299</v>
      </c>
      <c r="Y13" t="s">
        <v>300</v>
      </c>
      <c r="Z13" t="s">
        <v>74</v>
      </c>
      <c r="AA13" t="s">
        <v>301</v>
      </c>
      <c r="AB13" t="s">
        <v>302</v>
      </c>
      <c r="AC13" t="s">
        <v>74</v>
      </c>
      <c r="AD13" t="s">
        <v>74</v>
      </c>
      <c r="AE13" t="s">
        <v>74</v>
      </c>
      <c r="AF13" t="s">
        <v>74</v>
      </c>
      <c r="AG13">
        <v>68</v>
      </c>
      <c r="AH13">
        <v>8</v>
      </c>
      <c r="AI13">
        <v>9</v>
      </c>
      <c r="AJ13">
        <v>0</v>
      </c>
      <c r="AK13">
        <v>11</v>
      </c>
      <c r="AL13" t="s">
        <v>303</v>
      </c>
      <c r="AM13" t="s">
        <v>132</v>
      </c>
      <c r="AN13" t="s">
        <v>304</v>
      </c>
      <c r="AO13" t="s">
        <v>305</v>
      </c>
      <c r="AP13" t="s">
        <v>74</v>
      </c>
      <c r="AQ13" t="s">
        <v>74</v>
      </c>
      <c r="AR13" t="s">
        <v>306</v>
      </c>
      <c r="AS13" t="s">
        <v>307</v>
      </c>
      <c r="AT13" t="s">
        <v>308</v>
      </c>
      <c r="AU13">
        <v>2003</v>
      </c>
      <c r="AV13">
        <v>5</v>
      </c>
      <c r="AW13">
        <v>19</v>
      </c>
      <c r="AX13" t="s">
        <v>74</v>
      </c>
      <c r="AY13" t="s">
        <v>74</v>
      </c>
      <c r="AZ13" t="s">
        <v>74</v>
      </c>
      <c r="BA13" t="s">
        <v>74</v>
      </c>
      <c r="BB13">
        <v>4157</v>
      </c>
      <c r="BC13">
        <v>4169</v>
      </c>
      <c r="BD13" t="s">
        <v>74</v>
      </c>
      <c r="BE13" t="s">
        <v>309</v>
      </c>
      <c r="BF13" t="str">
        <f>HYPERLINK("http://dx.doi.org/10.1039/b308422c","http://dx.doi.org/10.1039/b308422c")</f>
        <v>http://dx.doi.org/10.1039/b308422c</v>
      </c>
      <c r="BG13" t="s">
        <v>74</v>
      </c>
      <c r="BH13" t="s">
        <v>74</v>
      </c>
      <c r="BI13">
        <v>13</v>
      </c>
      <c r="BJ13" t="s">
        <v>310</v>
      </c>
      <c r="BK13" t="s">
        <v>94</v>
      </c>
      <c r="BL13" t="s">
        <v>311</v>
      </c>
      <c r="BM13" t="s">
        <v>312</v>
      </c>
      <c r="BN13" t="s">
        <v>74</v>
      </c>
      <c r="BO13" t="s">
        <v>74</v>
      </c>
      <c r="BP13" t="s">
        <v>74</v>
      </c>
      <c r="BQ13" t="s">
        <v>74</v>
      </c>
      <c r="BR13" t="s">
        <v>97</v>
      </c>
      <c r="BS13" t="s">
        <v>313</v>
      </c>
      <c r="BT13" t="str">
        <f>HYPERLINK("https%3A%2F%2Fwww.webofscience.com%2Fwos%2Fwoscc%2Ffull-record%2FWOS:000186173300015","View Full Record in Web of Science")</f>
        <v>View Full Record in Web of Science</v>
      </c>
    </row>
    <row r="14" spans="1:72" x14ac:dyDescent="0.15">
      <c r="A14" t="s">
        <v>72</v>
      </c>
      <c r="B14" t="s">
        <v>314</v>
      </c>
      <c r="C14" t="s">
        <v>74</v>
      </c>
      <c r="D14" t="s">
        <v>74</v>
      </c>
      <c r="E14" t="s">
        <v>74</v>
      </c>
      <c r="F14" t="s">
        <v>314</v>
      </c>
      <c r="G14" t="s">
        <v>74</v>
      </c>
      <c r="H14" t="s">
        <v>74</v>
      </c>
      <c r="I14" t="s">
        <v>315</v>
      </c>
      <c r="J14" t="s">
        <v>316</v>
      </c>
      <c r="K14" t="s">
        <v>74</v>
      </c>
      <c r="L14" t="s">
        <v>74</v>
      </c>
      <c r="M14" t="s">
        <v>77</v>
      </c>
      <c r="N14" t="s">
        <v>78</v>
      </c>
      <c r="O14" t="s">
        <v>74</v>
      </c>
      <c r="P14" t="s">
        <v>74</v>
      </c>
      <c r="Q14" t="s">
        <v>74</v>
      </c>
      <c r="R14" t="s">
        <v>74</v>
      </c>
      <c r="S14" t="s">
        <v>74</v>
      </c>
      <c r="T14" t="s">
        <v>74</v>
      </c>
      <c r="U14" t="s">
        <v>317</v>
      </c>
      <c r="V14" t="s">
        <v>318</v>
      </c>
      <c r="W14" t="s">
        <v>319</v>
      </c>
      <c r="X14" t="s">
        <v>320</v>
      </c>
      <c r="Y14" t="s">
        <v>321</v>
      </c>
      <c r="Z14" t="s">
        <v>322</v>
      </c>
      <c r="AA14" t="s">
        <v>74</v>
      </c>
      <c r="AB14" t="s">
        <v>74</v>
      </c>
      <c r="AC14" t="s">
        <v>74</v>
      </c>
      <c r="AD14" t="s">
        <v>74</v>
      </c>
      <c r="AE14" t="s">
        <v>74</v>
      </c>
      <c r="AF14" t="s">
        <v>74</v>
      </c>
      <c r="AG14">
        <v>51</v>
      </c>
      <c r="AH14">
        <v>27</v>
      </c>
      <c r="AI14">
        <v>28</v>
      </c>
      <c r="AJ14">
        <v>0</v>
      </c>
      <c r="AK14">
        <v>6</v>
      </c>
      <c r="AL14" t="s">
        <v>207</v>
      </c>
      <c r="AM14" t="s">
        <v>229</v>
      </c>
      <c r="AN14" t="s">
        <v>323</v>
      </c>
      <c r="AO14" t="s">
        <v>324</v>
      </c>
      <c r="AP14" t="s">
        <v>325</v>
      </c>
      <c r="AQ14" t="s">
        <v>74</v>
      </c>
      <c r="AR14" t="s">
        <v>326</v>
      </c>
      <c r="AS14" t="s">
        <v>327</v>
      </c>
      <c r="AT14" t="s">
        <v>91</v>
      </c>
      <c r="AU14">
        <v>2003</v>
      </c>
      <c r="AV14">
        <v>26</v>
      </c>
      <c r="AW14">
        <v>10</v>
      </c>
      <c r="AX14" t="s">
        <v>74</v>
      </c>
      <c r="AY14" t="s">
        <v>74</v>
      </c>
      <c r="AZ14" t="s">
        <v>74</v>
      </c>
      <c r="BA14" t="s">
        <v>74</v>
      </c>
      <c r="BB14">
        <v>631</v>
      </c>
      <c r="BC14">
        <v>637</v>
      </c>
      <c r="BD14" t="s">
        <v>74</v>
      </c>
      <c r="BE14" t="s">
        <v>328</v>
      </c>
      <c r="BF14" t="str">
        <f>HYPERLINK("http://dx.doi.org/10.1007/s00300-003-0520-1","http://dx.doi.org/10.1007/s00300-003-0520-1")</f>
        <v>http://dx.doi.org/10.1007/s00300-003-0520-1</v>
      </c>
      <c r="BG14" t="s">
        <v>74</v>
      </c>
      <c r="BH14" t="s">
        <v>74</v>
      </c>
      <c r="BI14">
        <v>7</v>
      </c>
      <c r="BJ14" t="s">
        <v>329</v>
      </c>
      <c r="BK14" t="s">
        <v>94</v>
      </c>
      <c r="BL14" t="s">
        <v>330</v>
      </c>
      <c r="BM14" t="s">
        <v>331</v>
      </c>
      <c r="BN14" t="s">
        <v>74</v>
      </c>
      <c r="BO14" t="s">
        <v>74</v>
      </c>
      <c r="BP14" t="s">
        <v>74</v>
      </c>
      <c r="BQ14" t="s">
        <v>74</v>
      </c>
      <c r="BR14" t="s">
        <v>97</v>
      </c>
      <c r="BS14" t="s">
        <v>332</v>
      </c>
      <c r="BT14" t="str">
        <f>HYPERLINK("https%3A%2F%2Fwww.webofscience.com%2Fwos%2Fwoscc%2Ffull-record%2FWOS:000185917700001","View Full Record in Web of Science")</f>
        <v>View Full Record in Web of Science</v>
      </c>
    </row>
    <row r="15" spans="1:72" x14ac:dyDescent="0.15">
      <c r="A15" t="s">
        <v>72</v>
      </c>
      <c r="B15" t="s">
        <v>333</v>
      </c>
      <c r="C15" t="s">
        <v>74</v>
      </c>
      <c r="D15" t="s">
        <v>74</v>
      </c>
      <c r="E15" t="s">
        <v>74</v>
      </c>
      <c r="F15" t="s">
        <v>333</v>
      </c>
      <c r="G15" t="s">
        <v>74</v>
      </c>
      <c r="H15" t="s">
        <v>74</v>
      </c>
      <c r="I15" t="s">
        <v>334</v>
      </c>
      <c r="J15" t="s">
        <v>316</v>
      </c>
      <c r="K15" t="s">
        <v>74</v>
      </c>
      <c r="L15" t="s">
        <v>74</v>
      </c>
      <c r="M15" t="s">
        <v>77</v>
      </c>
      <c r="N15" t="s">
        <v>78</v>
      </c>
      <c r="O15" t="s">
        <v>74</v>
      </c>
      <c r="P15" t="s">
        <v>74</v>
      </c>
      <c r="Q15" t="s">
        <v>74</v>
      </c>
      <c r="R15" t="s">
        <v>74</v>
      </c>
      <c r="S15" t="s">
        <v>74</v>
      </c>
      <c r="T15" t="s">
        <v>74</v>
      </c>
      <c r="U15" t="s">
        <v>335</v>
      </c>
      <c r="V15" t="s">
        <v>336</v>
      </c>
      <c r="W15" t="s">
        <v>337</v>
      </c>
      <c r="X15" t="s">
        <v>338</v>
      </c>
      <c r="Y15" t="s">
        <v>339</v>
      </c>
      <c r="Z15" t="s">
        <v>74</v>
      </c>
      <c r="AA15" t="s">
        <v>340</v>
      </c>
      <c r="AB15" t="s">
        <v>341</v>
      </c>
      <c r="AC15" t="s">
        <v>74</v>
      </c>
      <c r="AD15" t="s">
        <v>74</v>
      </c>
      <c r="AE15" t="s">
        <v>74</v>
      </c>
      <c r="AF15" t="s">
        <v>74</v>
      </c>
      <c r="AG15">
        <v>38</v>
      </c>
      <c r="AH15">
        <v>28</v>
      </c>
      <c r="AI15">
        <v>31</v>
      </c>
      <c r="AJ15">
        <v>0</v>
      </c>
      <c r="AK15">
        <v>10</v>
      </c>
      <c r="AL15" t="s">
        <v>342</v>
      </c>
      <c r="AM15" t="s">
        <v>229</v>
      </c>
      <c r="AN15" t="s">
        <v>343</v>
      </c>
      <c r="AO15" t="s">
        <v>324</v>
      </c>
      <c r="AP15" t="s">
        <v>74</v>
      </c>
      <c r="AQ15" t="s">
        <v>74</v>
      </c>
      <c r="AR15" t="s">
        <v>326</v>
      </c>
      <c r="AS15" t="s">
        <v>327</v>
      </c>
      <c r="AT15" t="s">
        <v>91</v>
      </c>
      <c r="AU15">
        <v>2003</v>
      </c>
      <c r="AV15">
        <v>26</v>
      </c>
      <c r="AW15">
        <v>10</v>
      </c>
      <c r="AX15" t="s">
        <v>74</v>
      </c>
      <c r="AY15" t="s">
        <v>74</v>
      </c>
      <c r="AZ15" t="s">
        <v>74</v>
      </c>
      <c r="BA15" t="s">
        <v>74</v>
      </c>
      <c r="BB15">
        <v>638</v>
      </c>
      <c r="BC15">
        <v>647</v>
      </c>
      <c r="BD15" t="s">
        <v>74</v>
      </c>
      <c r="BE15" t="s">
        <v>344</v>
      </c>
      <c r="BF15" t="str">
        <f>HYPERLINK("http://dx.doi.org/10.1007/s00300-003-0530-z","http://dx.doi.org/10.1007/s00300-003-0530-z")</f>
        <v>http://dx.doi.org/10.1007/s00300-003-0530-z</v>
      </c>
      <c r="BG15" t="s">
        <v>74</v>
      </c>
      <c r="BH15" t="s">
        <v>74</v>
      </c>
      <c r="BI15">
        <v>10</v>
      </c>
      <c r="BJ15" t="s">
        <v>329</v>
      </c>
      <c r="BK15" t="s">
        <v>94</v>
      </c>
      <c r="BL15" t="s">
        <v>330</v>
      </c>
      <c r="BM15" t="s">
        <v>331</v>
      </c>
      <c r="BN15" t="s">
        <v>74</v>
      </c>
      <c r="BO15" t="s">
        <v>74</v>
      </c>
      <c r="BP15" t="s">
        <v>74</v>
      </c>
      <c r="BQ15" t="s">
        <v>74</v>
      </c>
      <c r="BR15" t="s">
        <v>97</v>
      </c>
      <c r="BS15" t="s">
        <v>345</v>
      </c>
      <c r="BT15" t="str">
        <f>HYPERLINK("https%3A%2F%2Fwww.webofscience.com%2Fwos%2Fwoscc%2Ffull-record%2FWOS:000185917700002","View Full Record in Web of Science")</f>
        <v>View Full Record in Web of Science</v>
      </c>
    </row>
    <row r="16" spans="1:72" x14ac:dyDescent="0.15">
      <c r="A16" t="s">
        <v>72</v>
      </c>
      <c r="B16" t="s">
        <v>346</v>
      </c>
      <c r="C16" t="s">
        <v>74</v>
      </c>
      <c r="D16" t="s">
        <v>74</v>
      </c>
      <c r="E16" t="s">
        <v>74</v>
      </c>
      <c r="F16" t="s">
        <v>346</v>
      </c>
      <c r="G16" t="s">
        <v>74</v>
      </c>
      <c r="H16" t="s">
        <v>74</v>
      </c>
      <c r="I16" t="s">
        <v>347</v>
      </c>
      <c r="J16" t="s">
        <v>316</v>
      </c>
      <c r="K16" t="s">
        <v>74</v>
      </c>
      <c r="L16" t="s">
        <v>74</v>
      </c>
      <c r="M16" t="s">
        <v>77</v>
      </c>
      <c r="N16" t="s">
        <v>78</v>
      </c>
      <c r="O16" t="s">
        <v>74</v>
      </c>
      <c r="P16" t="s">
        <v>74</v>
      </c>
      <c r="Q16" t="s">
        <v>74</v>
      </c>
      <c r="R16" t="s">
        <v>74</v>
      </c>
      <c r="S16" t="s">
        <v>74</v>
      </c>
      <c r="T16" t="s">
        <v>74</v>
      </c>
      <c r="U16" t="s">
        <v>348</v>
      </c>
      <c r="V16" t="s">
        <v>349</v>
      </c>
      <c r="W16" t="s">
        <v>350</v>
      </c>
      <c r="X16" t="s">
        <v>351</v>
      </c>
      <c r="Y16" t="s">
        <v>352</v>
      </c>
      <c r="Z16" t="s">
        <v>74</v>
      </c>
      <c r="AA16" t="s">
        <v>353</v>
      </c>
      <c r="AB16" t="s">
        <v>354</v>
      </c>
      <c r="AC16" t="s">
        <v>74</v>
      </c>
      <c r="AD16" t="s">
        <v>74</v>
      </c>
      <c r="AE16" t="s">
        <v>74</v>
      </c>
      <c r="AF16" t="s">
        <v>74</v>
      </c>
      <c r="AG16">
        <v>25</v>
      </c>
      <c r="AH16">
        <v>51</v>
      </c>
      <c r="AI16">
        <v>60</v>
      </c>
      <c r="AJ16">
        <v>0</v>
      </c>
      <c r="AK16">
        <v>57</v>
      </c>
      <c r="AL16" t="s">
        <v>342</v>
      </c>
      <c r="AM16" t="s">
        <v>229</v>
      </c>
      <c r="AN16" t="s">
        <v>343</v>
      </c>
      <c r="AO16" t="s">
        <v>324</v>
      </c>
      <c r="AP16" t="s">
        <v>74</v>
      </c>
      <c r="AQ16" t="s">
        <v>74</v>
      </c>
      <c r="AR16" t="s">
        <v>326</v>
      </c>
      <c r="AS16" t="s">
        <v>327</v>
      </c>
      <c r="AT16" t="s">
        <v>91</v>
      </c>
      <c r="AU16">
        <v>2003</v>
      </c>
      <c r="AV16">
        <v>26</v>
      </c>
      <c r="AW16">
        <v>10</v>
      </c>
      <c r="AX16" t="s">
        <v>74</v>
      </c>
      <c r="AY16" t="s">
        <v>74</v>
      </c>
      <c r="AZ16" t="s">
        <v>74</v>
      </c>
      <c r="BA16" t="s">
        <v>74</v>
      </c>
      <c r="BB16">
        <v>648</v>
      </c>
      <c r="BC16">
        <v>652</v>
      </c>
      <c r="BD16" t="s">
        <v>74</v>
      </c>
      <c r="BE16" t="s">
        <v>355</v>
      </c>
      <c r="BF16" t="str">
        <f>HYPERLINK("http://dx.doi.org/10.1007/s00300-003-0534-8","http://dx.doi.org/10.1007/s00300-003-0534-8")</f>
        <v>http://dx.doi.org/10.1007/s00300-003-0534-8</v>
      </c>
      <c r="BG16" t="s">
        <v>74</v>
      </c>
      <c r="BH16" t="s">
        <v>74</v>
      </c>
      <c r="BI16">
        <v>5</v>
      </c>
      <c r="BJ16" t="s">
        <v>329</v>
      </c>
      <c r="BK16" t="s">
        <v>94</v>
      </c>
      <c r="BL16" t="s">
        <v>330</v>
      </c>
      <c r="BM16" t="s">
        <v>331</v>
      </c>
      <c r="BN16" t="s">
        <v>74</v>
      </c>
      <c r="BO16" t="s">
        <v>74</v>
      </c>
      <c r="BP16" t="s">
        <v>74</v>
      </c>
      <c r="BQ16" t="s">
        <v>74</v>
      </c>
      <c r="BR16" t="s">
        <v>97</v>
      </c>
      <c r="BS16" t="s">
        <v>356</v>
      </c>
      <c r="BT16" t="str">
        <f>HYPERLINK("https%3A%2F%2Fwww.webofscience.com%2Fwos%2Fwoscc%2Ffull-record%2FWOS:000185917700003","View Full Record in Web of Science")</f>
        <v>View Full Record in Web of Science</v>
      </c>
    </row>
    <row r="17" spans="1:72" x14ac:dyDescent="0.15">
      <c r="A17" t="s">
        <v>72</v>
      </c>
      <c r="B17" t="s">
        <v>357</v>
      </c>
      <c r="C17" t="s">
        <v>74</v>
      </c>
      <c r="D17" t="s">
        <v>74</v>
      </c>
      <c r="E17" t="s">
        <v>74</v>
      </c>
      <c r="F17" t="s">
        <v>357</v>
      </c>
      <c r="G17" t="s">
        <v>74</v>
      </c>
      <c r="H17" t="s">
        <v>74</v>
      </c>
      <c r="I17" t="s">
        <v>358</v>
      </c>
      <c r="J17" t="s">
        <v>316</v>
      </c>
      <c r="K17" t="s">
        <v>74</v>
      </c>
      <c r="L17" t="s">
        <v>74</v>
      </c>
      <c r="M17" t="s">
        <v>77</v>
      </c>
      <c r="N17" t="s">
        <v>78</v>
      </c>
      <c r="O17" t="s">
        <v>74</v>
      </c>
      <c r="P17" t="s">
        <v>74</v>
      </c>
      <c r="Q17" t="s">
        <v>74</v>
      </c>
      <c r="R17" t="s">
        <v>74</v>
      </c>
      <c r="S17" t="s">
        <v>74</v>
      </c>
      <c r="T17" t="s">
        <v>74</v>
      </c>
      <c r="U17" t="s">
        <v>359</v>
      </c>
      <c r="V17" t="s">
        <v>360</v>
      </c>
      <c r="W17" t="s">
        <v>361</v>
      </c>
      <c r="X17" t="s">
        <v>362</v>
      </c>
      <c r="Y17" t="s">
        <v>363</v>
      </c>
      <c r="Z17" t="s">
        <v>74</v>
      </c>
      <c r="AA17" t="s">
        <v>74</v>
      </c>
      <c r="AB17" t="s">
        <v>74</v>
      </c>
      <c r="AC17" t="s">
        <v>74</v>
      </c>
      <c r="AD17" t="s">
        <v>74</v>
      </c>
      <c r="AE17" t="s">
        <v>74</v>
      </c>
      <c r="AF17" t="s">
        <v>74</v>
      </c>
      <c r="AG17">
        <v>23</v>
      </c>
      <c r="AH17">
        <v>12</v>
      </c>
      <c r="AI17">
        <v>13</v>
      </c>
      <c r="AJ17">
        <v>0</v>
      </c>
      <c r="AK17">
        <v>2</v>
      </c>
      <c r="AL17" t="s">
        <v>342</v>
      </c>
      <c r="AM17" t="s">
        <v>229</v>
      </c>
      <c r="AN17" t="s">
        <v>343</v>
      </c>
      <c r="AO17" t="s">
        <v>324</v>
      </c>
      <c r="AP17" t="s">
        <v>74</v>
      </c>
      <c r="AQ17" t="s">
        <v>74</v>
      </c>
      <c r="AR17" t="s">
        <v>326</v>
      </c>
      <c r="AS17" t="s">
        <v>327</v>
      </c>
      <c r="AT17" t="s">
        <v>91</v>
      </c>
      <c r="AU17">
        <v>2003</v>
      </c>
      <c r="AV17">
        <v>26</v>
      </c>
      <c r="AW17">
        <v>10</v>
      </c>
      <c r="AX17" t="s">
        <v>74</v>
      </c>
      <c r="AY17" t="s">
        <v>74</v>
      </c>
      <c r="AZ17" t="s">
        <v>74</v>
      </c>
      <c r="BA17" t="s">
        <v>74</v>
      </c>
      <c r="BB17">
        <v>653</v>
      </c>
      <c r="BC17">
        <v>658</v>
      </c>
      <c r="BD17" t="s">
        <v>74</v>
      </c>
      <c r="BE17" t="s">
        <v>364</v>
      </c>
      <c r="BF17" t="str">
        <f>HYPERLINK("http://dx.doi.org/10.1007/s00300-003-0542-8","http://dx.doi.org/10.1007/s00300-003-0542-8")</f>
        <v>http://dx.doi.org/10.1007/s00300-003-0542-8</v>
      </c>
      <c r="BG17" t="s">
        <v>74</v>
      </c>
      <c r="BH17" t="s">
        <v>74</v>
      </c>
      <c r="BI17">
        <v>6</v>
      </c>
      <c r="BJ17" t="s">
        <v>329</v>
      </c>
      <c r="BK17" t="s">
        <v>94</v>
      </c>
      <c r="BL17" t="s">
        <v>330</v>
      </c>
      <c r="BM17" t="s">
        <v>331</v>
      </c>
      <c r="BN17" t="s">
        <v>74</v>
      </c>
      <c r="BO17" t="s">
        <v>74</v>
      </c>
      <c r="BP17" t="s">
        <v>74</v>
      </c>
      <c r="BQ17" t="s">
        <v>74</v>
      </c>
      <c r="BR17" t="s">
        <v>97</v>
      </c>
      <c r="BS17" t="s">
        <v>365</v>
      </c>
      <c r="BT17" t="str">
        <f>HYPERLINK("https%3A%2F%2Fwww.webofscience.com%2Fwos%2Fwoscc%2Ffull-record%2FWOS:000185917700004","View Full Record in Web of Science")</f>
        <v>View Full Record in Web of Science</v>
      </c>
    </row>
    <row r="18" spans="1:72" x14ac:dyDescent="0.15">
      <c r="A18" t="s">
        <v>72</v>
      </c>
      <c r="B18" t="s">
        <v>366</v>
      </c>
      <c r="C18" t="s">
        <v>74</v>
      </c>
      <c r="D18" t="s">
        <v>74</v>
      </c>
      <c r="E18" t="s">
        <v>74</v>
      </c>
      <c r="F18" t="s">
        <v>366</v>
      </c>
      <c r="G18" t="s">
        <v>74</v>
      </c>
      <c r="H18" t="s">
        <v>74</v>
      </c>
      <c r="I18" t="s">
        <v>367</v>
      </c>
      <c r="J18" t="s">
        <v>316</v>
      </c>
      <c r="K18" t="s">
        <v>74</v>
      </c>
      <c r="L18" t="s">
        <v>74</v>
      </c>
      <c r="M18" t="s">
        <v>77</v>
      </c>
      <c r="N18" t="s">
        <v>78</v>
      </c>
      <c r="O18" t="s">
        <v>74</v>
      </c>
      <c r="P18" t="s">
        <v>74</v>
      </c>
      <c r="Q18" t="s">
        <v>74</v>
      </c>
      <c r="R18" t="s">
        <v>74</v>
      </c>
      <c r="S18" t="s">
        <v>74</v>
      </c>
      <c r="T18" t="s">
        <v>74</v>
      </c>
      <c r="U18" t="s">
        <v>368</v>
      </c>
      <c r="V18" t="s">
        <v>369</v>
      </c>
      <c r="W18" t="s">
        <v>370</v>
      </c>
      <c r="X18" t="s">
        <v>371</v>
      </c>
      <c r="Y18" t="s">
        <v>372</v>
      </c>
      <c r="Z18" t="s">
        <v>74</v>
      </c>
      <c r="AA18" t="s">
        <v>373</v>
      </c>
      <c r="AB18" t="s">
        <v>374</v>
      </c>
      <c r="AC18" t="s">
        <v>74</v>
      </c>
      <c r="AD18" t="s">
        <v>74</v>
      </c>
      <c r="AE18" t="s">
        <v>74</v>
      </c>
      <c r="AF18" t="s">
        <v>74</v>
      </c>
      <c r="AG18">
        <v>57</v>
      </c>
      <c r="AH18">
        <v>75</v>
      </c>
      <c r="AI18">
        <v>87</v>
      </c>
      <c r="AJ18">
        <v>0</v>
      </c>
      <c r="AK18">
        <v>18</v>
      </c>
      <c r="AL18" t="s">
        <v>342</v>
      </c>
      <c r="AM18" t="s">
        <v>229</v>
      </c>
      <c r="AN18" t="s">
        <v>343</v>
      </c>
      <c r="AO18" t="s">
        <v>324</v>
      </c>
      <c r="AP18" t="s">
        <v>74</v>
      </c>
      <c r="AQ18" t="s">
        <v>74</v>
      </c>
      <c r="AR18" t="s">
        <v>326</v>
      </c>
      <c r="AS18" t="s">
        <v>327</v>
      </c>
      <c r="AT18" t="s">
        <v>91</v>
      </c>
      <c r="AU18">
        <v>2003</v>
      </c>
      <c r="AV18">
        <v>26</v>
      </c>
      <c r="AW18">
        <v>10</v>
      </c>
      <c r="AX18" t="s">
        <v>74</v>
      </c>
      <c r="AY18" t="s">
        <v>74</v>
      </c>
      <c r="AZ18" t="s">
        <v>74</v>
      </c>
      <c r="BA18" t="s">
        <v>74</v>
      </c>
      <c r="BB18">
        <v>666</v>
      </c>
      <c r="BC18">
        <v>671</v>
      </c>
      <c r="BD18" t="s">
        <v>74</v>
      </c>
      <c r="BE18" t="s">
        <v>375</v>
      </c>
      <c r="BF18" t="str">
        <f>HYPERLINK("http://dx.doi.org/10.1007/s00300-003-0540-x","http://dx.doi.org/10.1007/s00300-003-0540-x")</f>
        <v>http://dx.doi.org/10.1007/s00300-003-0540-x</v>
      </c>
      <c r="BG18" t="s">
        <v>74</v>
      </c>
      <c r="BH18" t="s">
        <v>74</v>
      </c>
      <c r="BI18">
        <v>6</v>
      </c>
      <c r="BJ18" t="s">
        <v>329</v>
      </c>
      <c r="BK18" t="s">
        <v>94</v>
      </c>
      <c r="BL18" t="s">
        <v>330</v>
      </c>
      <c r="BM18" t="s">
        <v>331</v>
      </c>
      <c r="BN18" t="s">
        <v>74</v>
      </c>
      <c r="BO18" t="s">
        <v>74</v>
      </c>
      <c r="BP18" t="s">
        <v>74</v>
      </c>
      <c r="BQ18" t="s">
        <v>74</v>
      </c>
      <c r="BR18" t="s">
        <v>97</v>
      </c>
      <c r="BS18" t="s">
        <v>376</v>
      </c>
      <c r="BT18" t="str">
        <f>HYPERLINK("https%3A%2F%2Fwww.webofscience.com%2Fwos%2Fwoscc%2Ffull-record%2FWOS:000185917700006","View Full Record in Web of Science")</f>
        <v>View Full Record in Web of Science</v>
      </c>
    </row>
    <row r="19" spans="1:72" x14ac:dyDescent="0.15">
      <c r="A19" t="s">
        <v>72</v>
      </c>
      <c r="B19" t="s">
        <v>377</v>
      </c>
      <c r="C19" t="s">
        <v>74</v>
      </c>
      <c r="D19" t="s">
        <v>74</v>
      </c>
      <c r="E19" t="s">
        <v>74</v>
      </c>
      <c r="F19" t="s">
        <v>377</v>
      </c>
      <c r="G19" t="s">
        <v>74</v>
      </c>
      <c r="H19" t="s">
        <v>74</v>
      </c>
      <c r="I19" t="s">
        <v>378</v>
      </c>
      <c r="J19" t="s">
        <v>316</v>
      </c>
      <c r="K19" t="s">
        <v>74</v>
      </c>
      <c r="L19" t="s">
        <v>74</v>
      </c>
      <c r="M19" t="s">
        <v>77</v>
      </c>
      <c r="N19" t="s">
        <v>78</v>
      </c>
      <c r="O19" t="s">
        <v>74</v>
      </c>
      <c r="P19" t="s">
        <v>74</v>
      </c>
      <c r="Q19" t="s">
        <v>74</v>
      </c>
      <c r="R19" t="s">
        <v>74</v>
      </c>
      <c r="S19" t="s">
        <v>74</v>
      </c>
      <c r="T19" t="s">
        <v>74</v>
      </c>
      <c r="U19" t="s">
        <v>379</v>
      </c>
      <c r="V19" t="s">
        <v>380</v>
      </c>
      <c r="W19" t="s">
        <v>381</v>
      </c>
      <c r="X19" t="s">
        <v>382</v>
      </c>
      <c r="Y19" t="s">
        <v>383</v>
      </c>
      <c r="Z19" t="s">
        <v>74</v>
      </c>
      <c r="AA19" t="s">
        <v>74</v>
      </c>
      <c r="AB19" t="s">
        <v>74</v>
      </c>
      <c r="AC19" t="s">
        <v>74</v>
      </c>
      <c r="AD19" t="s">
        <v>74</v>
      </c>
      <c r="AE19" t="s">
        <v>74</v>
      </c>
      <c r="AF19" t="s">
        <v>74</v>
      </c>
      <c r="AG19">
        <v>32</v>
      </c>
      <c r="AH19">
        <v>26</v>
      </c>
      <c r="AI19">
        <v>30</v>
      </c>
      <c r="AJ19">
        <v>0</v>
      </c>
      <c r="AK19">
        <v>7</v>
      </c>
      <c r="AL19" t="s">
        <v>342</v>
      </c>
      <c r="AM19" t="s">
        <v>229</v>
      </c>
      <c r="AN19" t="s">
        <v>343</v>
      </c>
      <c r="AO19" t="s">
        <v>324</v>
      </c>
      <c r="AP19" t="s">
        <v>74</v>
      </c>
      <c r="AQ19" t="s">
        <v>74</v>
      </c>
      <c r="AR19" t="s">
        <v>326</v>
      </c>
      <c r="AS19" t="s">
        <v>327</v>
      </c>
      <c r="AT19" t="s">
        <v>91</v>
      </c>
      <c r="AU19">
        <v>2003</v>
      </c>
      <c r="AV19">
        <v>26</v>
      </c>
      <c r="AW19">
        <v>10</v>
      </c>
      <c r="AX19" t="s">
        <v>74</v>
      </c>
      <c r="AY19" t="s">
        <v>74</v>
      </c>
      <c r="AZ19" t="s">
        <v>74</v>
      </c>
      <c r="BA19" t="s">
        <v>74</v>
      </c>
      <c r="BB19">
        <v>672</v>
      </c>
      <c r="BC19">
        <v>679</v>
      </c>
      <c r="BD19" t="s">
        <v>74</v>
      </c>
      <c r="BE19" t="s">
        <v>384</v>
      </c>
      <c r="BF19" t="str">
        <f>HYPERLINK("http://dx.doi.org/10.1007/s00300-003-0537-5","http://dx.doi.org/10.1007/s00300-003-0537-5")</f>
        <v>http://dx.doi.org/10.1007/s00300-003-0537-5</v>
      </c>
      <c r="BG19" t="s">
        <v>74</v>
      </c>
      <c r="BH19" t="s">
        <v>74</v>
      </c>
      <c r="BI19">
        <v>8</v>
      </c>
      <c r="BJ19" t="s">
        <v>329</v>
      </c>
      <c r="BK19" t="s">
        <v>94</v>
      </c>
      <c r="BL19" t="s">
        <v>330</v>
      </c>
      <c r="BM19" t="s">
        <v>331</v>
      </c>
      <c r="BN19" t="s">
        <v>74</v>
      </c>
      <c r="BO19" t="s">
        <v>74</v>
      </c>
      <c r="BP19" t="s">
        <v>74</v>
      </c>
      <c r="BQ19" t="s">
        <v>74</v>
      </c>
      <c r="BR19" t="s">
        <v>97</v>
      </c>
      <c r="BS19" t="s">
        <v>385</v>
      </c>
      <c r="BT19" t="str">
        <f>HYPERLINK("https%3A%2F%2Fwww.webofscience.com%2Fwos%2Fwoscc%2Ffull-record%2FWOS:000185917700007","View Full Record in Web of Science")</f>
        <v>View Full Record in Web of Science</v>
      </c>
    </row>
    <row r="20" spans="1:72" x14ac:dyDescent="0.15">
      <c r="A20" t="s">
        <v>72</v>
      </c>
      <c r="B20" t="s">
        <v>386</v>
      </c>
      <c r="C20" t="s">
        <v>74</v>
      </c>
      <c r="D20" t="s">
        <v>74</v>
      </c>
      <c r="E20" t="s">
        <v>74</v>
      </c>
      <c r="F20" t="s">
        <v>386</v>
      </c>
      <c r="G20" t="s">
        <v>74</v>
      </c>
      <c r="H20" t="s">
        <v>74</v>
      </c>
      <c r="I20" t="s">
        <v>387</v>
      </c>
      <c r="J20" t="s">
        <v>316</v>
      </c>
      <c r="K20" t="s">
        <v>74</v>
      </c>
      <c r="L20" t="s">
        <v>74</v>
      </c>
      <c r="M20" t="s">
        <v>77</v>
      </c>
      <c r="N20" t="s">
        <v>78</v>
      </c>
      <c r="O20" t="s">
        <v>74</v>
      </c>
      <c r="P20" t="s">
        <v>74</v>
      </c>
      <c r="Q20" t="s">
        <v>74</v>
      </c>
      <c r="R20" t="s">
        <v>74</v>
      </c>
      <c r="S20" t="s">
        <v>74</v>
      </c>
      <c r="T20" t="s">
        <v>74</v>
      </c>
      <c r="U20" t="s">
        <v>388</v>
      </c>
      <c r="V20" t="s">
        <v>389</v>
      </c>
      <c r="W20" t="s">
        <v>390</v>
      </c>
      <c r="X20" t="s">
        <v>391</v>
      </c>
      <c r="Y20" t="s">
        <v>392</v>
      </c>
      <c r="Z20" t="s">
        <v>393</v>
      </c>
      <c r="AA20" t="s">
        <v>394</v>
      </c>
      <c r="AB20" t="s">
        <v>395</v>
      </c>
      <c r="AC20" t="s">
        <v>74</v>
      </c>
      <c r="AD20" t="s">
        <v>74</v>
      </c>
      <c r="AE20" t="s">
        <v>74</v>
      </c>
      <c r="AF20" t="s">
        <v>74</v>
      </c>
      <c r="AG20">
        <v>48</v>
      </c>
      <c r="AH20">
        <v>51</v>
      </c>
      <c r="AI20">
        <v>56</v>
      </c>
      <c r="AJ20">
        <v>0</v>
      </c>
      <c r="AK20">
        <v>16</v>
      </c>
      <c r="AL20" t="s">
        <v>207</v>
      </c>
      <c r="AM20" t="s">
        <v>229</v>
      </c>
      <c r="AN20" t="s">
        <v>323</v>
      </c>
      <c r="AO20" t="s">
        <v>324</v>
      </c>
      <c r="AP20" t="s">
        <v>325</v>
      </c>
      <c r="AQ20" t="s">
        <v>74</v>
      </c>
      <c r="AR20" t="s">
        <v>326</v>
      </c>
      <c r="AS20" t="s">
        <v>327</v>
      </c>
      <c r="AT20" t="s">
        <v>91</v>
      </c>
      <c r="AU20">
        <v>2003</v>
      </c>
      <c r="AV20">
        <v>26</v>
      </c>
      <c r="AW20">
        <v>10</v>
      </c>
      <c r="AX20" t="s">
        <v>74</v>
      </c>
      <c r="AY20" t="s">
        <v>74</v>
      </c>
      <c r="AZ20" t="s">
        <v>74</v>
      </c>
      <c r="BA20" t="s">
        <v>74</v>
      </c>
      <c r="BB20">
        <v>680</v>
      </c>
      <c r="BC20">
        <v>686</v>
      </c>
      <c r="BD20" t="s">
        <v>74</v>
      </c>
      <c r="BE20" t="s">
        <v>396</v>
      </c>
      <c r="BF20" t="str">
        <f>HYPERLINK("http://dx.doi.org/10.1007/s00300-003-0538-4","http://dx.doi.org/10.1007/s00300-003-0538-4")</f>
        <v>http://dx.doi.org/10.1007/s00300-003-0538-4</v>
      </c>
      <c r="BG20" t="s">
        <v>74</v>
      </c>
      <c r="BH20" t="s">
        <v>74</v>
      </c>
      <c r="BI20">
        <v>7</v>
      </c>
      <c r="BJ20" t="s">
        <v>329</v>
      </c>
      <c r="BK20" t="s">
        <v>94</v>
      </c>
      <c r="BL20" t="s">
        <v>330</v>
      </c>
      <c r="BM20" t="s">
        <v>331</v>
      </c>
      <c r="BN20" t="s">
        <v>74</v>
      </c>
      <c r="BO20" t="s">
        <v>74</v>
      </c>
      <c r="BP20" t="s">
        <v>74</v>
      </c>
      <c r="BQ20" t="s">
        <v>74</v>
      </c>
      <c r="BR20" t="s">
        <v>97</v>
      </c>
      <c r="BS20" t="s">
        <v>397</v>
      </c>
      <c r="BT20" t="str">
        <f>HYPERLINK("https%3A%2F%2Fwww.webofscience.com%2Fwos%2Fwoscc%2Ffull-record%2FWOS:000185917700008","View Full Record in Web of Science")</f>
        <v>View Full Record in Web of Science</v>
      </c>
    </row>
    <row r="21" spans="1:72" x14ac:dyDescent="0.15">
      <c r="A21" t="s">
        <v>72</v>
      </c>
      <c r="B21" t="s">
        <v>398</v>
      </c>
      <c r="C21" t="s">
        <v>74</v>
      </c>
      <c r="D21" t="s">
        <v>74</v>
      </c>
      <c r="E21" t="s">
        <v>74</v>
      </c>
      <c r="F21" t="s">
        <v>398</v>
      </c>
      <c r="G21" t="s">
        <v>74</v>
      </c>
      <c r="H21" t="s">
        <v>74</v>
      </c>
      <c r="I21" t="s">
        <v>399</v>
      </c>
      <c r="J21" t="s">
        <v>316</v>
      </c>
      <c r="K21" t="s">
        <v>74</v>
      </c>
      <c r="L21" t="s">
        <v>74</v>
      </c>
      <c r="M21" t="s">
        <v>77</v>
      </c>
      <c r="N21" t="s">
        <v>78</v>
      </c>
      <c r="O21" t="s">
        <v>74</v>
      </c>
      <c r="P21" t="s">
        <v>74</v>
      </c>
      <c r="Q21" t="s">
        <v>74</v>
      </c>
      <c r="R21" t="s">
        <v>74</v>
      </c>
      <c r="S21" t="s">
        <v>74</v>
      </c>
      <c r="T21" t="s">
        <v>74</v>
      </c>
      <c r="U21" t="s">
        <v>74</v>
      </c>
      <c r="V21" t="s">
        <v>400</v>
      </c>
      <c r="W21" t="s">
        <v>401</v>
      </c>
      <c r="X21" t="s">
        <v>402</v>
      </c>
      <c r="Y21" t="s">
        <v>403</v>
      </c>
      <c r="Z21" t="s">
        <v>404</v>
      </c>
      <c r="AA21" t="s">
        <v>405</v>
      </c>
      <c r="AB21" t="s">
        <v>406</v>
      </c>
      <c r="AC21" t="s">
        <v>74</v>
      </c>
      <c r="AD21" t="s">
        <v>74</v>
      </c>
      <c r="AE21" t="s">
        <v>74</v>
      </c>
      <c r="AF21" t="s">
        <v>74</v>
      </c>
      <c r="AG21">
        <v>14</v>
      </c>
      <c r="AH21">
        <v>13</v>
      </c>
      <c r="AI21">
        <v>16</v>
      </c>
      <c r="AJ21">
        <v>0</v>
      </c>
      <c r="AK21">
        <v>1</v>
      </c>
      <c r="AL21" t="s">
        <v>342</v>
      </c>
      <c r="AM21" t="s">
        <v>229</v>
      </c>
      <c r="AN21" t="s">
        <v>343</v>
      </c>
      <c r="AO21" t="s">
        <v>324</v>
      </c>
      <c r="AP21" t="s">
        <v>74</v>
      </c>
      <c r="AQ21" t="s">
        <v>74</v>
      </c>
      <c r="AR21" t="s">
        <v>326</v>
      </c>
      <c r="AS21" t="s">
        <v>327</v>
      </c>
      <c r="AT21" t="s">
        <v>91</v>
      </c>
      <c r="AU21">
        <v>2003</v>
      </c>
      <c r="AV21">
        <v>26</v>
      </c>
      <c r="AW21">
        <v>10</v>
      </c>
      <c r="AX21" t="s">
        <v>74</v>
      </c>
      <c r="AY21" t="s">
        <v>74</v>
      </c>
      <c r="AZ21" t="s">
        <v>74</v>
      </c>
      <c r="BA21" t="s">
        <v>74</v>
      </c>
      <c r="BB21">
        <v>687</v>
      </c>
      <c r="BC21">
        <v>690</v>
      </c>
      <c r="BD21" t="s">
        <v>74</v>
      </c>
      <c r="BE21" t="s">
        <v>407</v>
      </c>
      <c r="BF21" t="str">
        <f>HYPERLINK("http://dx.doi.org/10.1007/s00300-003-0536-6","http://dx.doi.org/10.1007/s00300-003-0536-6")</f>
        <v>http://dx.doi.org/10.1007/s00300-003-0536-6</v>
      </c>
      <c r="BG21" t="s">
        <v>74</v>
      </c>
      <c r="BH21" t="s">
        <v>74</v>
      </c>
      <c r="BI21">
        <v>4</v>
      </c>
      <c r="BJ21" t="s">
        <v>329</v>
      </c>
      <c r="BK21" t="s">
        <v>94</v>
      </c>
      <c r="BL21" t="s">
        <v>330</v>
      </c>
      <c r="BM21" t="s">
        <v>331</v>
      </c>
      <c r="BN21" t="s">
        <v>74</v>
      </c>
      <c r="BO21" t="s">
        <v>74</v>
      </c>
      <c r="BP21" t="s">
        <v>74</v>
      </c>
      <c r="BQ21" t="s">
        <v>74</v>
      </c>
      <c r="BR21" t="s">
        <v>97</v>
      </c>
      <c r="BS21" t="s">
        <v>408</v>
      </c>
      <c r="BT21" t="str">
        <f>HYPERLINK("https%3A%2F%2Fwww.webofscience.com%2Fwos%2Fwoscc%2Ffull-record%2FWOS:000185917700009","View Full Record in Web of Science")</f>
        <v>View Full Record in Web of Science</v>
      </c>
    </row>
    <row r="22" spans="1:72" x14ac:dyDescent="0.15">
      <c r="A22" t="s">
        <v>72</v>
      </c>
      <c r="B22" t="s">
        <v>409</v>
      </c>
      <c r="C22" t="s">
        <v>74</v>
      </c>
      <c r="D22" t="s">
        <v>74</v>
      </c>
      <c r="E22" t="s">
        <v>74</v>
      </c>
      <c r="F22" t="s">
        <v>409</v>
      </c>
      <c r="G22" t="s">
        <v>74</v>
      </c>
      <c r="H22" t="s">
        <v>74</v>
      </c>
      <c r="I22" t="s">
        <v>410</v>
      </c>
      <c r="J22" t="s">
        <v>411</v>
      </c>
      <c r="K22" t="s">
        <v>74</v>
      </c>
      <c r="L22" t="s">
        <v>74</v>
      </c>
      <c r="M22" t="s">
        <v>77</v>
      </c>
      <c r="N22" t="s">
        <v>78</v>
      </c>
      <c r="O22" t="s">
        <v>74</v>
      </c>
      <c r="P22" t="s">
        <v>74</v>
      </c>
      <c r="Q22" t="s">
        <v>74</v>
      </c>
      <c r="R22" t="s">
        <v>74</v>
      </c>
      <c r="S22" t="s">
        <v>74</v>
      </c>
      <c r="T22" t="s">
        <v>412</v>
      </c>
      <c r="U22" t="s">
        <v>413</v>
      </c>
      <c r="V22" t="s">
        <v>414</v>
      </c>
      <c r="W22" t="s">
        <v>415</v>
      </c>
      <c r="X22" t="s">
        <v>416</v>
      </c>
      <c r="Y22" t="s">
        <v>417</v>
      </c>
      <c r="Z22" t="s">
        <v>418</v>
      </c>
      <c r="AA22" t="s">
        <v>74</v>
      </c>
      <c r="AB22" t="s">
        <v>419</v>
      </c>
      <c r="AC22" t="s">
        <v>74</v>
      </c>
      <c r="AD22" t="s">
        <v>74</v>
      </c>
      <c r="AE22" t="s">
        <v>74</v>
      </c>
      <c r="AF22" t="s">
        <v>74</v>
      </c>
      <c r="AG22">
        <v>27</v>
      </c>
      <c r="AH22">
        <v>3</v>
      </c>
      <c r="AI22">
        <v>3</v>
      </c>
      <c r="AJ22">
        <v>0</v>
      </c>
      <c r="AK22">
        <v>5</v>
      </c>
      <c r="AL22" t="s">
        <v>420</v>
      </c>
      <c r="AM22" t="s">
        <v>421</v>
      </c>
      <c r="AN22" t="s">
        <v>422</v>
      </c>
      <c r="AO22" t="s">
        <v>423</v>
      </c>
      <c r="AP22" t="s">
        <v>424</v>
      </c>
      <c r="AQ22" t="s">
        <v>74</v>
      </c>
      <c r="AR22" t="s">
        <v>425</v>
      </c>
      <c r="AS22" t="s">
        <v>426</v>
      </c>
      <c r="AT22" t="s">
        <v>91</v>
      </c>
      <c r="AU22">
        <v>2003</v>
      </c>
      <c r="AV22">
        <v>61</v>
      </c>
      <c r="AW22">
        <v>4</v>
      </c>
      <c r="AX22" t="s">
        <v>74</v>
      </c>
      <c r="AY22" t="s">
        <v>74</v>
      </c>
      <c r="AZ22" t="s">
        <v>74</v>
      </c>
      <c r="BA22" t="s">
        <v>74</v>
      </c>
      <c r="BB22">
        <v>773</v>
      </c>
      <c r="BC22">
        <v>778</v>
      </c>
      <c r="BD22" t="s">
        <v>74</v>
      </c>
      <c r="BE22" t="s">
        <v>427</v>
      </c>
      <c r="BF22" t="str">
        <f>HYPERLINK("http://dx.doi.org/10.1007/BF02706127","http://dx.doi.org/10.1007/BF02706127")</f>
        <v>http://dx.doi.org/10.1007/BF02706127</v>
      </c>
      <c r="BG22" t="s">
        <v>74</v>
      </c>
      <c r="BH22" t="s">
        <v>74</v>
      </c>
      <c r="BI22">
        <v>6</v>
      </c>
      <c r="BJ22" t="s">
        <v>428</v>
      </c>
      <c r="BK22" t="s">
        <v>94</v>
      </c>
      <c r="BL22" t="s">
        <v>429</v>
      </c>
      <c r="BM22" t="s">
        <v>430</v>
      </c>
      <c r="BN22" t="s">
        <v>74</v>
      </c>
      <c r="BO22" t="s">
        <v>74</v>
      </c>
      <c r="BP22" t="s">
        <v>74</v>
      </c>
      <c r="BQ22" t="s">
        <v>74</v>
      </c>
      <c r="BR22" t="s">
        <v>97</v>
      </c>
      <c r="BS22" t="s">
        <v>431</v>
      </c>
      <c r="BT22" t="str">
        <f>HYPERLINK("https%3A%2F%2Fwww.webofscience.com%2Fwos%2Fwoscc%2Ffull-record%2FWOS:000186262400016","View Full Record in Web of Science")</f>
        <v>View Full Record in Web of Science</v>
      </c>
    </row>
    <row r="23" spans="1:72" x14ac:dyDescent="0.15">
      <c r="A23" t="s">
        <v>72</v>
      </c>
      <c r="B23" t="s">
        <v>432</v>
      </c>
      <c r="C23" t="s">
        <v>74</v>
      </c>
      <c r="D23" t="s">
        <v>74</v>
      </c>
      <c r="E23" t="s">
        <v>74</v>
      </c>
      <c r="F23" t="s">
        <v>432</v>
      </c>
      <c r="G23" t="s">
        <v>74</v>
      </c>
      <c r="H23" t="s">
        <v>74</v>
      </c>
      <c r="I23" t="s">
        <v>433</v>
      </c>
      <c r="J23" t="s">
        <v>434</v>
      </c>
      <c r="K23" t="s">
        <v>74</v>
      </c>
      <c r="L23" t="s">
        <v>74</v>
      </c>
      <c r="M23" t="s">
        <v>77</v>
      </c>
      <c r="N23" t="s">
        <v>78</v>
      </c>
      <c r="O23" t="s">
        <v>74</v>
      </c>
      <c r="P23" t="s">
        <v>74</v>
      </c>
      <c r="Q23" t="s">
        <v>74</v>
      </c>
      <c r="R23" t="s">
        <v>74</v>
      </c>
      <c r="S23" t="s">
        <v>74</v>
      </c>
      <c r="T23" t="s">
        <v>435</v>
      </c>
      <c r="U23" t="s">
        <v>436</v>
      </c>
      <c r="V23" t="s">
        <v>437</v>
      </c>
      <c r="W23" t="s">
        <v>438</v>
      </c>
      <c r="X23" t="s">
        <v>439</v>
      </c>
      <c r="Y23" t="s">
        <v>440</v>
      </c>
      <c r="Z23" t="s">
        <v>74</v>
      </c>
      <c r="AA23" t="s">
        <v>74</v>
      </c>
      <c r="AB23" t="s">
        <v>74</v>
      </c>
      <c r="AC23" t="s">
        <v>74</v>
      </c>
      <c r="AD23" t="s">
        <v>74</v>
      </c>
      <c r="AE23" t="s">
        <v>74</v>
      </c>
      <c r="AF23" t="s">
        <v>74</v>
      </c>
      <c r="AG23">
        <v>24</v>
      </c>
      <c r="AH23">
        <v>8</v>
      </c>
      <c r="AI23">
        <v>9</v>
      </c>
      <c r="AJ23">
        <v>0</v>
      </c>
      <c r="AK23">
        <v>4</v>
      </c>
      <c r="AL23" t="s">
        <v>441</v>
      </c>
      <c r="AM23" t="s">
        <v>442</v>
      </c>
      <c r="AN23" t="s">
        <v>443</v>
      </c>
      <c r="AO23" t="s">
        <v>444</v>
      </c>
      <c r="AP23" t="s">
        <v>74</v>
      </c>
      <c r="AQ23" t="s">
        <v>74</v>
      </c>
      <c r="AR23" t="s">
        <v>445</v>
      </c>
      <c r="AS23" t="s">
        <v>446</v>
      </c>
      <c r="AT23" t="s">
        <v>91</v>
      </c>
      <c r="AU23">
        <v>2003</v>
      </c>
      <c r="AV23">
        <v>129</v>
      </c>
      <c r="AW23">
        <v>594</v>
      </c>
      <c r="AX23" t="s">
        <v>447</v>
      </c>
      <c r="AY23" t="s">
        <v>74</v>
      </c>
      <c r="AZ23" t="s">
        <v>74</v>
      </c>
      <c r="BA23" t="s">
        <v>74</v>
      </c>
      <c r="BB23">
        <v>3121</v>
      </c>
      <c r="BC23">
        <v>3136</v>
      </c>
      <c r="BD23" t="s">
        <v>74</v>
      </c>
      <c r="BE23" t="s">
        <v>448</v>
      </c>
      <c r="BF23" t="str">
        <f>HYPERLINK("http://dx.doi.org/10.1256/qj.03.19","http://dx.doi.org/10.1256/qj.03.19")</f>
        <v>http://dx.doi.org/10.1256/qj.03.19</v>
      </c>
      <c r="BG23" t="s">
        <v>74</v>
      </c>
      <c r="BH23" t="s">
        <v>74</v>
      </c>
      <c r="BI23">
        <v>16</v>
      </c>
      <c r="BJ23" t="s">
        <v>93</v>
      </c>
      <c r="BK23" t="s">
        <v>94</v>
      </c>
      <c r="BL23" t="s">
        <v>93</v>
      </c>
      <c r="BM23" t="s">
        <v>449</v>
      </c>
      <c r="BN23" t="s">
        <v>74</v>
      </c>
      <c r="BO23" t="s">
        <v>96</v>
      </c>
      <c r="BP23" t="s">
        <v>74</v>
      </c>
      <c r="BQ23" t="s">
        <v>74</v>
      </c>
      <c r="BR23" t="s">
        <v>97</v>
      </c>
      <c r="BS23" t="s">
        <v>450</v>
      </c>
      <c r="BT23" t="str">
        <f>HYPERLINK("https%3A%2F%2Fwww.webofscience.com%2Fwos%2Fwoscc%2Ffull-record%2FWOS:000186445400014","View Full Record in Web of Science")</f>
        <v>View Full Record in Web of Science</v>
      </c>
    </row>
    <row r="24" spans="1:72" x14ac:dyDescent="0.15">
      <c r="A24" t="s">
        <v>72</v>
      </c>
      <c r="B24" t="s">
        <v>451</v>
      </c>
      <c r="C24" t="s">
        <v>74</v>
      </c>
      <c r="D24" t="s">
        <v>74</v>
      </c>
      <c r="E24" t="s">
        <v>74</v>
      </c>
      <c r="F24" t="s">
        <v>451</v>
      </c>
      <c r="G24" t="s">
        <v>74</v>
      </c>
      <c r="H24" t="s">
        <v>74</v>
      </c>
      <c r="I24" t="s">
        <v>452</v>
      </c>
      <c r="J24" t="s">
        <v>453</v>
      </c>
      <c r="K24" t="s">
        <v>74</v>
      </c>
      <c r="L24" t="s">
        <v>74</v>
      </c>
      <c r="M24" t="s">
        <v>77</v>
      </c>
      <c r="N24" t="s">
        <v>78</v>
      </c>
      <c r="O24" t="s">
        <v>74</v>
      </c>
      <c r="P24" t="s">
        <v>74</v>
      </c>
      <c r="Q24" t="s">
        <v>74</v>
      </c>
      <c r="R24" t="s">
        <v>74</v>
      </c>
      <c r="S24" t="s">
        <v>74</v>
      </c>
      <c r="T24" t="s">
        <v>454</v>
      </c>
      <c r="U24" t="s">
        <v>74</v>
      </c>
      <c r="V24" t="s">
        <v>455</v>
      </c>
      <c r="W24" t="s">
        <v>456</v>
      </c>
      <c r="X24" t="s">
        <v>457</v>
      </c>
      <c r="Y24" t="s">
        <v>458</v>
      </c>
      <c r="Z24" t="s">
        <v>74</v>
      </c>
      <c r="AA24" t="s">
        <v>74</v>
      </c>
      <c r="AB24" t="s">
        <v>459</v>
      </c>
      <c r="AC24" t="s">
        <v>74</v>
      </c>
      <c r="AD24" t="s">
        <v>74</v>
      </c>
      <c r="AE24" t="s">
        <v>74</v>
      </c>
      <c r="AF24" t="s">
        <v>74</v>
      </c>
      <c r="AG24">
        <v>12</v>
      </c>
      <c r="AH24">
        <v>18</v>
      </c>
      <c r="AI24">
        <v>18</v>
      </c>
      <c r="AJ24">
        <v>0</v>
      </c>
      <c r="AK24">
        <v>5</v>
      </c>
      <c r="AL24" t="s">
        <v>169</v>
      </c>
      <c r="AM24" t="s">
        <v>170</v>
      </c>
      <c r="AN24" t="s">
        <v>171</v>
      </c>
      <c r="AO24" t="s">
        <v>460</v>
      </c>
      <c r="AP24" t="s">
        <v>74</v>
      </c>
      <c r="AQ24" t="s">
        <v>74</v>
      </c>
      <c r="AR24" t="s">
        <v>461</v>
      </c>
      <c r="AS24" t="s">
        <v>462</v>
      </c>
      <c r="AT24" t="s">
        <v>91</v>
      </c>
      <c r="AU24">
        <v>2003</v>
      </c>
      <c r="AV24">
        <v>28</v>
      </c>
      <c r="AW24">
        <v>13</v>
      </c>
      <c r="AX24" t="s">
        <v>74</v>
      </c>
      <c r="AY24" t="s">
        <v>74</v>
      </c>
      <c r="AZ24" t="s">
        <v>74</v>
      </c>
      <c r="BA24" t="s">
        <v>74</v>
      </c>
      <c r="BB24">
        <v>2037</v>
      </c>
      <c r="BC24">
        <v>2061</v>
      </c>
      <c r="BD24" t="s">
        <v>74</v>
      </c>
      <c r="BE24" t="s">
        <v>463</v>
      </c>
      <c r="BF24" t="str">
        <f>HYPERLINK("http://dx.doi.org/10.1016/S0960-1481(03)00076-4","http://dx.doi.org/10.1016/S0960-1481(03)00076-4")</f>
        <v>http://dx.doi.org/10.1016/S0960-1481(03)00076-4</v>
      </c>
      <c r="BG24" t="s">
        <v>74</v>
      </c>
      <c r="BH24" t="s">
        <v>74</v>
      </c>
      <c r="BI24">
        <v>25</v>
      </c>
      <c r="BJ24" t="s">
        <v>464</v>
      </c>
      <c r="BK24" t="s">
        <v>94</v>
      </c>
      <c r="BL24" t="s">
        <v>465</v>
      </c>
      <c r="BM24" t="s">
        <v>466</v>
      </c>
      <c r="BN24" t="s">
        <v>74</v>
      </c>
      <c r="BO24" t="s">
        <v>74</v>
      </c>
      <c r="BP24" t="s">
        <v>74</v>
      </c>
      <c r="BQ24" t="s">
        <v>74</v>
      </c>
      <c r="BR24" t="s">
        <v>97</v>
      </c>
      <c r="BS24" t="s">
        <v>467</v>
      </c>
      <c r="BT24" t="str">
        <f>HYPERLINK("https%3A%2F%2Fwww.webofscience.com%2Fwos%2Fwoscc%2Ffull-record%2FWOS:000183478200004","View Full Record in Web of Science")</f>
        <v>View Full Record in Web of Science</v>
      </c>
    </row>
    <row r="25" spans="1:72" x14ac:dyDescent="0.15">
      <c r="A25" t="s">
        <v>72</v>
      </c>
      <c r="B25" t="s">
        <v>468</v>
      </c>
      <c r="C25" t="s">
        <v>74</v>
      </c>
      <c r="D25" t="s">
        <v>74</v>
      </c>
      <c r="E25" t="s">
        <v>74</v>
      </c>
      <c r="F25" t="s">
        <v>468</v>
      </c>
      <c r="G25" t="s">
        <v>74</v>
      </c>
      <c r="H25" t="s">
        <v>74</v>
      </c>
      <c r="I25" t="s">
        <v>469</v>
      </c>
      <c r="J25" t="s">
        <v>470</v>
      </c>
      <c r="K25" t="s">
        <v>74</v>
      </c>
      <c r="L25" t="s">
        <v>74</v>
      </c>
      <c r="M25" t="s">
        <v>77</v>
      </c>
      <c r="N25" t="s">
        <v>78</v>
      </c>
      <c r="O25" t="s">
        <v>74</v>
      </c>
      <c r="P25" t="s">
        <v>74</v>
      </c>
      <c r="Q25" t="s">
        <v>74</v>
      </c>
      <c r="R25" t="s">
        <v>74</v>
      </c>
      <c r="S25" t="s">
        <v>74</v>
      </c>
      <c r="T25" t="s">
        <v>471</v>
      </c>
      <c r="U25" t="s">
        <v>472</v>
      </c>
      <c r="V25" t="s">
        <v>473</v>
      </c>
      <c r="W25" t="s">
        <v>474</v>
      </c>
      <c r="X25" t="s">
        <v>475</v>
      </c>
      <c r="Y25" t="s">
        <v>476</v>
      </c>
      <c r="Z25" t="s">
        <v>74</v>
      </c>
      <c r="AA25" t="s">
        <v>477</v>
      </c>
      <c r="AB25" t="s">
        <v>478</v>
      </c>
      <c r="AC25" t="s">
        <v>74</v>
      </c>
      <c r="AD25" t="s">
        <v>74</v>
      </c>
      <c r="AE25" t="s">
        <v>74</v>
      </c>
      <c r="AF25" t="s">
        <v>74</v>
      </c>
      <c r="AG25">
        <v>32</v>
      </c>
      <c r="AH25">
        <v>3</v>
      </c>
      <c r="AI25">
        <v>4</v>
      </c>
      <c r="AJ25">
        <v>0</v>
      </c>
      <c r="AK25">
        <v>8</v>
      </c>
      <c r="AL25" t="s">
        <v>479</v>
      </c>
      <c r="AM25" t="s">
        <v>480</v>
      </c>
      <c r="AN25" t="s">
        <v>481</v>
      </c>
      <c r="AO25" t="s">
        <v>482</v>
      </c>
      <c r="AP25" t="s">
        <v>74</v>
      </c>
      <c r="AQ25" t="s">
        <v>74</v>
      </c>
      <c r="AR25" t="s">
        <v>470</v>
      </c>
      <c r="AS25" t="s">
        <v>483</v>
      </c>
      <c r="AT25" t="s">
        <v>308</v>
      </c>
      <c r="AU25">
        <v>2003</v>
      </c>
      <c r="AV25">
        <v>88</v>
      </c>
      <c r="AW25">
        <v>4</v>
      </c>
      <c r="AX25" t="s">
        <v>74</v>
      </c>
      <c r="AY25" t="s">
        <v>74</v>
      </c>
      <c r="AZ25" t="s">
        <v>74</v>
      </c>
      <c r="BA25" t="s">
        <v>74</v>
      </c>
      <c r="BB25">
        <v>291</v>
      </c>
      <c r="BC25">
        <v>296</v>
      </c>
      <c r="BD25" t="s">
        <v>74</v>
      </c>
      <c r="BE25" t="s">
        <v>484</v>
      </c>
      <c r="BF25" t="str">
        <f>HYPERLINK("http://dx.doi.org/10.1080/00364820310002515","http://dx.doi.org/10.1080/00364820310002515")</f>
        <v>http://dx.doi.org/10.1080/00364820310002515</v>
      </c>
      <c r="BG25" t="s">
        <v>74</v>
      </c>
      <c r="BH25" t="s">
        <v>74</v>
      </c>
      <c r="BI25">
        <v>6</v>
      </c>
      <c r="BJ25" t="s">
        <v>485</v>
      </c>
      <c r="BK25" t="s">
        <v>94</v>
      </c>
      <c r="BL25" t="s">
        <v>486</v>
      </c>
      <c r="BM25" t="s">
        <v>487</v>
      </c>
      <c r="BN25" t="s">
        <v>74</v>
      </c>
      <c r="BO25" t="s">
        <v>74</v>
      </c>
      <c r="BP25" t="s">
        <v>74</v>
      </c>
      <c r="BQ25" t="s">
        <v>74</v>
      </c>
      <c r="BR25" t="s">
        <v>97</v>
      </c>
      <c r="BS25" t="s">
        <v>488</v>
      </c>
      <c r="BT25" t="str">
        <f>HYPERLINK("https%3A%2F%2Fwww.webofscience.com%2Fwos%2Fwoscc%2Ffull-record%2FWOS:000186016500004","View Full Record in Web of Science")</f>
        <v>View Full Record in Web of Science</v>
      </c>
    </row>
    <row r="26" spans="1:72" x14ac:dyDescent="0.15">
      <c r="A26" t="s">
        <v>72</v>
      </c>
      <c r="B26" t="s">
        <v>489</v>
      </c>
      <c r="C26" t="s">
        <v>74</v>
      </c>
      <c r="D26" t="s">
        <v>74</v>
      </c>
      <c r="E26" t="s">
        <v>74</v>
      </c>
      <c r="F26" t="s">
        <v>489</v>
      </c>
      <c r="G26" t="s">
        <v>74</v>
      </c>
      <c r="H26" t="s">
        <v>74</v>
      </c>
      <c r="I26" t="s">
        <v>490</v>
      </c>
      <c r="J26" t="s">
        <v>491</v>
      </c>
      <c r="K26" t="s">
        <v>74</v>
      </c>
      <c r="L26" t="s">
        <v>74</v>
      </c>
      <c r="M26" t="s">
        <v>77</v>
      </c>
      <c r="N26" t="s">
        <v>78</v>
      </c>
      <c r="O26" t="s">
        <v>74</v>
      </c>
      <c r="P26" t="s">
        <v>74</v>
      </c>
      <c r="Q26" t="s">
        <v>74</v>
      </c>
      <c r="R26" t="s">
        <v>74</v>
      </c>
      <c r="S26" t="s">
        <v>74</v>
      </c>
      <c r="T26" t="s">
        <v>74</v>
      </c>
      <c r="U26" t="s">
        <v>74</v>
      </c>
      <c r="V26" t="s">
        <v>74</v>
      </c>
      <c r="W26" t="s">
        <v>492</v>
      </c>
      <c r="X26" t="s">
        <v>493</v>
      </c>
      <c r="Y26" t="s">
        <v>494</v>
      </c>
      <c r="Z26" t="s">
        <v>74</v>
      </c>
      <c r="AA26" t="s">
        <v>495</v>
      </c>
      <c r="AB26" t="s">
        <v>496</v>
      </c>
      <c r="AC26" t="s">
        <v>74</v>
      </c>
      <c r="AD26" t="s">
        <v>74</v>
      </c>
      <c r="AE26" t="s">
        <v>74</v>
      </c>
      <c r="AF26" t="s">
        <v>74</v>
      </c>
      <c r="AG26">
        <v>0</v>
      </c>
      <c r="AH26">
        <v>0</v>
      </c>
      <c r="AI26">
        <v>0</v>
      </c>
      <c r="AJ26">
        <v>0</v>
      </c>
      <c r="AK26">
        <v>1</v>
      </c>
      <c r="AL26" t="s">
        <v>497</v>
      </c>
      <c r="AM26" t="s">
        <v>498</v>
      </c>
      <c r="AN26" t="s">
        <v>499</v>
      </c>
      <c r="AO26" t="s">
        <v>500</v>
      </c>
      <c r="AP26" t="s">
        <v>74</v>
      </c>
      <c r="AQ26" t="s">
        <v>74</v>
      </c>
      <c r="AR26" t="s">
        <v>501</v>
      </c>
      <c r="AS26" t="s">
        <v>502</v>
      </c>
      <c r="AT26" t="s">
        <v>91</v>
      </c>
      <c r="AU26">
        <v>2003</v>
      </c>
      <c r="AV26">
        <v>44</v>
      </c>
      <c r="AW26">
        <v>10</v>
      </c>
      <c r="AX26" t="s">
        <v>74</v>
      </c>
      <c r="AY26" t="s">
        <v>74</v>
      </c>
      <c r="AZ26" t="s">
        <v>74</v>
      </c>
      <c r="BA26" t="s">
        <v>74</v>
      </c>
      <c r="BB26">
        <v>47</v>
      </c>
      <c r="BC26" t="s">
        <v>503</v>
      </c>
      <c r="BD26" t="s">
        <v>74</v>
      </c>
      <c r="BE26" t="s">
        <v>74</v>
      </c>
      <c r="BF26" t="s">
        <v>74</v>
      </c>
      <c r="BG26" t="s">
        <v>74</v>
      </c>
      <c r="BH26" t="s">
        <v>74</v>
      </c>
      <c r="BI26">
        <v>9</v>
      </c>
      <c r="BJ26" t="s">
        <v>504</v>
      </c>
      <c r="BK26" t="s">
        <v>94</v>
      </c>
      <c r="BL26" t="s">
        <v>505</v>
      </c>
      <c r="BM26" t="s">
        <v>506</v>
      </c>
      <c r="BN26" t="s">
        <v>74</v>
      </c>
      <c r="BO26" t="s">
        <v>74</v>
      </c>
      <c r="BP26" t="s">
        <v>74</v>
      </c>
      <c r="BQ26" t="s">
        <v>74</v>
      </c>
      <c r="BR26" t="s">
        <v>97</v>
      </c>
      <c r="BS26" t="s">
        <v>507</v>
      </c>
      <c r="BT26" t="str">
        <f>HYPERLINK("https%3A%2F%2Fwww.webofscience.com%2Fwos%2Fwoscc%2Ffull-record%2FWOS:000186060600009","View Full Record in Web of Science")</f>
        <v>View Full Record in Web of Science</v>
      </c>
    </row>
    <row r="27" spans="1:72" x14ac:dyDescent="0.15">
      <c r="A27" t="s">
        <v>72</v>
      </c>
      <c r="B27" t="s">
        <v>508</v>
      </c>
      <c r="C27" t="s">
        <v>74</v>
      </c>
      <c r="D27" t="s">
        <v>74</v>
      </c>
      <c r="E27" t="s">
        <v>74</v>
      </c>
      <c r="F27" t="s">
        <v>508</v>
      </c>
      <c r="G27" t="s">
        <v>74</v>
      </c>
      <c r="H27" t="s">
        <v>74</v>
      </c>
      <c r="I27" t="s">
        <v>509</v>
      </c>
      <c r="J27" t="s">
        <v>510</v>
      </c>
      <c r="K27" t="s">
        <v>74</v>
      </c>
      <c r="L27" t="s">
        <v>74</v>
      </c>
      <c r="M27" t="s">
        <v>77</v>
      </c>
      <c r="N27" t="s">
        <v>78</v>
      </c>
      <c r="O27" t="s">
        <v>74</v>
      </c>
      <c r="P27" t="s">
        <v>74</v>
      </c>
      <c r="Q27" t="s">
        <v>74</v>
      </c>
      <c r="R27" t="s">
        <v>74</v>
      </c>
      <c r="S27" t="s">
        <v>74</v>
      </c>
      <c r="T27" t="s">
        <v>511</v>
      </c>
      <c r="U27" t="s">
        <v>512</v>
      </c>
      <c r="V27" t="s">
        <v>513</v>
      </c>
      <c r="W27" t="s">
        <v>514</v>
      </c>
      <c r="X27" t="s">
        <v>515</v>
      </c>
      <c r="Y27" t="s">
        <v>516</v>
      </c>
      <c r="Z27" t="s">
        <v>517</v>
      </c>
      <c r="AA27" t="s">
        <v>74</v>
      </c>
      <c r="AB27" t="s">
        <v>518</v>
      </c>
      <c r="AC27" t="s">
        <v>74</v>
      </c>
      <c r="AD27" t="s">
        <v>74</v>
      </c>
      <c r="AE27" t="s">
        <v>74</v>
      </c>
      <c r="AF27" t="s">
        <v>74</v>
      </c>
      <c r="AG27">
        <v>6</v>
      </c>
      <c r="AH27">
        <v>2</v>
      </c>
      <c r="AI27">
        <v>2</v>
      </c>
      <c r="AJ27">
        <v>1</v>
      </c>
      <c r="AK27">
        <v>6</v>
      </c>
      <c r="AL27" t="s">
        <v>519</v>
      </c>
      <c r="AM27" t="s">
        <v>520</v>
      </c>
      <c r="AN27" t="s">
        <v>521</v>
      </c>
      <c r="AO27" t="s">
        <v>522</v>
      </c>
      <c r="AP27" t="s">
        <v>74</v>
      </c>
      <c r="AQ27" t="s">
        <v>74</v>
      </c>
      <c r="AR27" t="s">
        <v>523</v>
      </c>
      <c r="AS27" t="s">
        <v>524</v>
      </c>
      <c r="AT27" t="s">
        <v>91</v>
      </c>
      <c r="AU27">
        <v>2003</v>
      </c>
      <c r="AV27">
        <v>20</v>
      </c>
      <c r="AW27">
        <v>10</v>
      </c>
      <c r="AX27" t="s">
        <v>74</v>
      </c>
      <c r="AY27" t="s">
        <v>74</v>
      </c>
      <c r="AZ27" t="s">
        <v>74</v>
      </c>
      <c r="BA27" t="s">
        <v>74</v>
      </c>
      <c r="BB27">
        <v>1315</v>
      </c>
      <c r="BC27">
        <v>1321</v>
      </c>
      <c r="BD27" t="s">
        <v>74</v>
      </c>
      <c r="BE27" t="s">
        <v>525</v>
      </c>
      <c r="BF27" t="str">
        <f>HYPERLINK("http://dx.doi.org/10.2108/zsj.20.1315","http://dx.doi.org/10.2108/zsj.20.1315")</f>
        <v>http://dx.doi.org/10.2108/zsj.20.1315</v>
      </c>
      <c r="BG27" t="s">
        <v>74</v>
      </c>
      <c r="BH27" t="s">
        <v>74</v>
      </c>
      <c r="BI27">
        <v>7</v>
      </c>
      <c r="BJ27" t="s">
        <v>258</v>
      </c>
      <c r="BK27" t="s">
        <v>94</v>
      </c>
      <c r="BL27" t="s">
        <v>258</v>
      </c>
      <c r="BM27" t="s">
        <v>526</v>
      </c>
      <c r="BN27">
        <v>14569154</v>
      </c>
      <c r="BO27" t="s">
        <v>96</v>
      </c>
      <c r="BP27" t="s">
        <v>74</v>
      </c>
      <c r="BQ27" t="s">
        <v>74</v>
      </c>
      <c r="BR27" t="s">
        <v>97</v>
      </c>
      <c r="BS27" t="s">
        <v>527</v>
      </c>
      <c r="BT27" t="str">
        <f>HYPERLINK("https%3A%2F%2Fwww.webofscience.com%2Fwos%2Fwoscc%2Ffull-record%2FWOS:000186945600014","View Full Record in Web of Science")</f>
        <v>View Full Record in Web of Science</v>
      </c>
    </row>
    <row r="28" spans="1:72" x14ac:dyDescent="0.15">
      <c r="A28" t="s">
        <v>72</v>
      </c>
      <c r="B28" t="s">
        <v>528</v>
      </c>
      <c r="C28" t="s">
        <v>74</v>
      </c>
      <c r="D28" t="s">
        <v>74</v>
      </c>
      <c r="E28" t="s">
        <v>74</v>
      </c>
      <c r="F28" t="s">
        <v>528</v>
      </c>
      <c r="G28" t="s">
        <v>74</v>
      </c>
      <c r="H28" t="s">
        <v>74</v>
      </c>
      <c r="I28" t="s">
        <v>529</v>
      </c>
      <c r="J28" t="s">
        <v>530</v>
      </c>
      <c r="K28" t="s">
        <v>74</v>
      </c>
      <c r="L28" t="s">
        <v>74</v>
      </c>
      <c r="M28" t="s">
        <v>77</v>
      </c>
      <c r="N28" t="s">
        <v>78</v>
      </c>
      <c r="O28" t="s">
        <v>74</v>
      </c>
      <c r="P28" t="s">
        <v>74</v>
      </c>
      <c r="Q28" t="s">
        <v>74</v>
      </c>
      <c r="R28" t="s">
        <v>74</v>
      </c>
      <c r="S28" t="s">
        <v>74</v>
      </c>
      <c r="T28" t="s">
        <v>74</v>
      </c>
      <c r="U28" t="s">
        <v>531</v>
      </c>
      <c r="V28" t="s">
        <v>532</v>
      </c>
      <c r="W28" t="s">
        <v>533</v>
      </c>
      <c r="X28" t="s">
        <v>534</v>
      </c>
      <c r="Y28" t="s">
        <v>535</v>
      </c>
      <c r="Z28" t="s">
        <v>536</v>
      </c>
      <c r="AA28" t="s">
        <v>537</v>
      </c>
      <c r="AB28" t="s">
        <v>538</v>
      </c>
      <c r="AC28" t="s">
        <v>74</v>
      </c>
      <c r="AD28" t="s">
        <v>74</v>
      </c>
      <c r="AE28" t="s">
        <v>74</v>
      </c>
      <c r="AF28" t="s">
        <v>74</v>
      </c>
      <c r="AG28">
        <v>29</v>
      </c>
      <c r="AH28">
        <v>207</v>
      </c>
      <c r="AI28">
        <v>245</v>
      </c>
      <c r="AJ28">
        <v>1</v>
      </c>
      <c r="AK28">
        <v>21</v>
      </c>
      <c r="AL28" t="s">
        <v>539</v>
      </c>
      <c r="AM28" t="s">
        <v>540</v>
      </c>
      <c r="AN28" t="s">
        <v>541</v>
      </c>
      <c r="AO28" t="s">
        <v>542</v>
      </c>
      <c r="AP28" t="s">
        <v>543</v>
      </c>
      <c r="AQ28" t="s">
        <v>74</v>
      </c>
      <c r="AR28" t="s">
        <v>544</v>
      </c>
      <c r="AS28" t="s">
        <v>545</v>
      </c>
      <c r="AT28" t="s">
        <v>546</v>
      </c>
      <c r="AU28">
        <v>2003</v>
      </c>
      <c r="AV28">
        <v>30</v>
      </c>
      <c r="AW28">
        <v>18</v>
      </c>
      <c r="AX28" t="s">
        <v>74</v>
      </c>
      <c r="AY28" t="s">
        <v>74</v>
      </c>
      <c r="AZ28" t="s">
        <v>74</v>
      </c>
      <c r="BA28" t="s">
        <v>74</v>
      </c>
      <c r="BB28" t="s">
        <v>74</v>
      </c>
      <c r="BC28" t="s">
        <v>74</v>
      </c>
      <c r="BD28">
        <v>1970</v>
      </c>
      <c r="BE28" t="s">
        <v>547</v>
      </c>
      <c r="BF28" t="str">
        <f>HYPERLINK("http://dx.doi.org/10.1029/2003GL018031","http://dx.doi.org/10.1029/2003GL018031")</f>
        <v>http://dx.doi.org/10.1029/2003GL018031</v>
      </c>
      <c r="BG28" t="s">
        <v>74</v>
      </c>
      <c r="BH28" t="s">
        <v>74</v>
      </c>
      <c r="BI28">
        <v>4</v>
      </c>
      <c r="BJ28" t="s">
        <v>548</v>
      </c>
      <c r="BK28" t="s">
        <v>94</v>
      </c>
      <c r="BL28" t="s">
        <v>549</v>
      </c>
      <c r="BM28" t="s">
        <v>550</v>
      </c>
      <c r="BN28" t="s">
        <v>74</v>
      </c>
      <c r="BO28" t="s">
        <v>551</v>
      </c>
      <c r="BP28" t="s">
        <v>74</v>
      </c>
      <c r="BQ28" t="s">
        <v>74</v>
      </c>
      <c r="BR28" t="s">
        <v>97</v>
      </c>
      <c r="BS28" t="s">
        <v>552</v>
      </c>
      <c r="BT28" t="str">
        <f>HYPERLINK("https%3A%2F%2Fwww.webofscience.com%2Fwos%2Fwoscc%2Ffull-record%2FWOS:000185887900005","View Full Record in Web of Science")</f>
        <v>View Full Record in Web of Science</v>
      </c>
    </row>
    <row r="29" spans="1:72" x14ac:dyDescent="0.15">
      <c r="A29" t="s">
        <v>72</v>
      </c>
      <c r="B29" t="s">
        <v>553</v>
      </c>
      <c r="C29" t="s">
        <v>74</v>
      </c>
      <c r="D29" t="s">
        <v>74</v>
      </c>
      <c r="E29" t="s">
        <v>74</v>
      </c>
      <c r="F29" t="s">
        <v>553</v>
      </c>
      <c r="G29" t="s">
        <v>74</v>
      </c>
      <c r="H29" t="s">
        <v>74</v>
      </c>
      <c r="I29" t="s">
        <v>554</v>
      </c>
      <c r="J29" t="s">
        <v>555</v>
      </c>
      <c r="K29" t="s">
        <v>74</v>
      </c>
      <c r="L29" t="s">
        <v>74</v>
      </c>
      <c r="M29" t="s">
        <v>77</v>
      </c>
      <c r="N29" t="s">
        <v>556</v>
      </c>
      <c r="O29" t="s">
        <v>74</v>
      </c>
      <c r="P29" t="s">
        <v>74</v>
      </c>
      <c r="Q29" t="s">
        <v>74</v>
      </c>
      <c r="R29" t="s">
        <v>74</v>
      </c>
      <c r="S29" t="s">
        <v>74</v>
      </c>
      <c r="T29" t="s">
        <v>557</v>
      </c>
      <c r="U29" t="s">
        <v>558</v>
      </c>
      <c r="V29" t="s">
        <v>559</v>
      </c>
      <c r="W29" t="s">
        <v>560</v>
      </c>
      <c r="X29" t="s">
        <v>561</v>
      </c>
      <c r="Y29" t="s">
        <v>562</v>
      </c>
      <c r="Z29" t="s">
        <v>563</v>
      </c>
      <c r="AA29" t="s">
        <v>564</v>
      </c>
      <c r="AB29" t="s">
        <v>565</v>
      </c>
      <c r="AC29" t="s">
        <v>74</v>
      </c>
      <c r="AD29" t="s">
        <v>74</v>
      </c>
      <c r="AE29" t="s">
        <v>74</v>
      </c>
      <c r="AF29" t="s">
        <v>74</v>
      </c>
      <c r="AG29">
        <v>69</v>
      </c>
      <c r="AH29">
        <v>92</v>
      </c>
      <c r="AI29">
        <v>115</v>
      </c>
      <c r="AJ29">
        <v>0</v>
      </c>
      <c r="AK29">
        <v>24</v>
      </c>
      <c r="AL29" t="s">
        <v>566</v>
      </c>
      <c r="AM29" t="s">
        <v>170</v>
      </c>
      <c r="AN29" t="s">
        <v>567</v>
      </c>
      <c r="AO29" t="s">
        <v>568</v>
      </c>
      <c r="AP29" t="s">
        <v>569</v>
      </c>
      <c r="AQ29" t="s">
        <v>74</v>
      </c>
      <c r="AR29" t="s">
        <v>570</v>
      </c>
      <c r="AS29" t="s">
        <v>571</v>
      </c>
      <c r="AT29" t="s">
        <v>546</v>
      </c>
      <c r="AU29">
        <v>2003</v>
      </c>
      <c r="AV29">
        <v>33</v>
      </c>
      <c r="AW29">
        <v>11</v>
      </c>
      <c r="AX29" t="s">
        <v>74</v>
      </c>
      <c r="AY29" t="s">
        <v>74</v>
      </c>
      <c r="AZ29" t="s">
        <v>74</v>
      </c>
      <c r="BA29" t="s">
        <v>74</v>
      </c>
      <c r="BB29">
        <v>1195</v>
      </c>
      <c r="BC29">
        <v>1206</v>
      </c>
      <c r="BD29" t="s">
        <v>74</v>
      </c>
      <c r="BE29" t="s">
        <v>572</v>
      </c>
      <c r="BF29" t="str">
        <f>HYPERLINK("http://dx.doi.org/10.1016/S0020-7519(03)00173-5","http://dx.doi.org/10.1016/S0020-7519(03)00173-5")</f>
        <v>http://dx.doi.org/10.1016/S0020-7519(03)00173-5</v>
      </c>
      <c r="BG29" t="s">
        <v>74</v>
      </c>
      <c r="BH29" t="s">
        <v>74</v>
      </c>
      <c r="BI29">
        <v>12</v>
      </c>
      <c r="BJ29" t="s">
        <v>573</v>
      </c>
      <c r="BK29" t="s">
        <v>94</v>
      </c>
      <c r="BL29" t="s">
        <v>573</v>
      </c>
      <c r="BM29" t="s">
        <v>574</v>
      </c>
      <c r="BN29">
        <v>13678635</v>
      </c>
      <c r="BO29" t="s">
        <v>74</v>
      </c>
      <c r="BP29" t="s">
        <v>74</v>
      </c>
      <c r="BQ29" t="s">
        <v>74</v>
      </c>
      <c r="BR29" t="s">
        <v>97</v>
      </c>
      <c r="BS29" t="s">
        <v>575</v>
      </c>
      <c r="BT29" t="str">
        <f>HYPERLINK("https%3A%2F%2Fwww.webofscience.com%2Fwos%2Fwoscc%2Ffull-record%2FWOS:000185796900008","View Full Record in Web of Science")</f>
        <v>View Full Record in Web of Science</v>
      </c>
    </row>
    <row r="30" spans="1:72" x14ac:dyDescent="0.15">
      <c r="A30" t="s">
        <v>72</v>
      </c>
      <c r="B30" t="s">
        <v>576</v>
      </c>
      <c r="C30" t="s">
        <v>74</v>
      </c>
      <c r="D30" t="s">
        <v>74</v>
      </c>
      <c r="E30" t="s">
        <v>74</v>
      </c>
      <c r="F30" t="s">
        <v>576</v>
      </c>
      <c r="G30" t="s">
        <v>74</v>
      </c>
      <c r="H30" t="s">
        <v>74</v>
      </c>
      <c r="I30" t="s">
        <v>577</v>
      </c>
      <c r="J30" t="s">
        <v>578</v>
      </c>
      <c r="K30" t="s">
        <v>74</v>
      </c>
      <c r="L30" t="s">
        <v>74</v>
      </c>
      <c r="M30" t="s">
        <v>77</v>
      </c>
      <c r="N30" t="s">
        <v>78</v>
      </c>
      <c r="O30" t="s">
        <v>74</v>
      </c>
      <c r="P30" t="s">
        <v>74</v>
      </c>
      <c r="Q30" t="s">
        <v>74</v>
      </c>
      <c r="R30" t="s">
        <v>74</v>
      </c>
      <c r="S30" t="s">
        <v>74</v>
      </c>
      <c r="T30" t="s">
        <v>579</v>
      </c>
      <c r="U30" t="s">
        <v>580</v>
      </c>
      <c r="V30" t="s">
        <v>581</v>
      </c>
      <c r="W30" t="s">
        <v>582</v>
      </c>
      <c r="X30" t="s">
        <v>583</v>
      </c>
      <c r="Y30" t="s">
        <v>584</v>
      </c>
      <c r="Z30" t="s">
        <v>585</v>
      </c>
      <c r="AA30" t="s">
        <v>586</v>
      </c>
      <c r="AB30" t="s">
        <v>587</v>
      </c>
      <c r="AC30" t="s">
        <v>74</v>
      </c>
      <c r="AD30" t="s">
        <v>74</v>
      </c>
      <c r="AE30" t="s">
        <v>74</v>
      </c>
      <c r="AF30" t="s">
        <v>74</v>
      </c>
      <c r="AG30">
        <v>32</v>
      </c>
      <c r="AH30">
        <v>75</v>
      </c>
      <c r="AI30">
        <v>81</v>
      </c>
      <c r="AJ30">
        <v>1</v>
      </c>
      <c r="AK30">
        <v>25</v>
      </c>
      <c r="AL30" t="s">
        <v>539</v>
      </c>
      <c r="AM30" t="s">
        <v>540</v>
      </c>
      <c r="AN30" t="s">
        <v>541</v>
      </c>
      <c r="AO30" t="s">
        <v>588</v>
      </c>
      <c r="AP30" t="s">
        <v>74</v>
      </c>
      <c r="AQ30" t="s">
        <v>74</v>
      </c>
      <c r="AR30" t="s">
        <v>589</v>
      </c>
      <c r="AS30" t="s">
        <v>590</v>
      </c>
      <c r="AT30" t="s">
        <v>591</v>
      </c>
      <c r="AU30">
        <v>2003</v>
      </c>
      <c r="AV30">
        <v>108</v>
      </c>
      <c r="AW30" t="s">
        <v>592</v>
      </c>
      <c r="AX30" t="s">
        <v>74</v>
      </c>
      <c r="AY30" t="s">
        <v>74</v>
      </c>
      <c r="AZ30" t="s">
        <v>74</v>
      </c>
      <c r="BA30" t="s">
        <v>74</v>
      </c>
      <c r="BB30" t="s">
        <v>74</v>
      </c>
      <c r="BC30" t="s">
        <v>74</v>
      </c>
      <c r="BD30">
        <v>4587</v>
      </c>
      <c r="BE30" t="s">
        <v>593</v>
      </c>
      <c r="BF30" t="str">
        <f>HYPERLINK("http://dx.doi.org/10.1029/2003JD003614","http://dx.doi.org/10.1029/2003JD003614")</f>
        <v>http://dx.doi.org/10.1029/2003JD003614</v>
      </c>
      <c r="BG30" t="s">
        <v>74</v>
      </c>
      <c r="BH30" t="s">
        <v>74</v>
      </c>
      <c r="BI30">
        <v>10</v>
      </c>
      <c r="BJ30" t="s">
        <v>93</v>
      </c>
      <c r="BK30" t="s">
        <v>94</v>
      </c>
      <c r="BL30" t="s">
        <v>93</v>
      </c>
      <c r="BM30" t="s">
        <v>594</v>
      </c>
      <c r="BN30" t="s">
        <v>74</v>
      </c>
      <c r="BO30" t="s">
        <v>74</v>
      </c>
      <c r="BP30" t="s">
        <v>74</v>
      </c>
      <c r="BQ30" t="s">
        <v>74</v>
      </c>
      <c r="BR30" t="s">
        <v>97</v>
      </c>
      <c r="BS30" t="s">
        <v>595</v>
      </c>
      <c r="BT30" t="str">
        <f>HYPERLINK("https%3A%2F%2Fwww.webofscience.com%2Fwos%2Fwoscc%2Ffull-record%2FWOS:000185650900002","View Full Record in Web of Science")</f>
        <v>View Full Record in Web of Science</v>
      </c>
    </row>
    <row r="31" spans="1:72" x14ac:dyDescent="0.15">
      <c r="A31" t="s">
        <v>72</v>
      </c>
      <c r="B31" t="s">
        <v>596</v>
      </c>
      <c r="C31" t="s">
        <v>74</v>
      </c>
      <c r="D31" t="s">
        <v>74</v>
      </c>
      <c r="E31" t="s">
        <v>74</v>
      </c>
      <c r="F31" t="s">
        <v>596</v>
      </c>
      <c r="G31" t="s">
        <v>74</v>
      </c>
      <c r="H31" t="s">
        <v>74</v>
      </c>
      <c r="I31" t="s">
        <v>597</v>
      </c>
      <c r="J31" t="s">
        <v>578</v>
      </c>
      <c r="K31" t="s">
        <v>74</v>
      </c>
      <c r="L31" t="s">
        <v>74</v>
      </c>
      <c r="M31" t="s">
        <v>77</v>
      </c>
      <c r="N31" t="s">
        <v>78</v>
      </c>
      <c r="O31" t="s">
        <v>74</v>
      </c>
      <c r="P31" t="s">
        <v>74</v>
      </c>
      <c r="Q31" t="s">
        <v>74</v>
      </c>
      <c r="R31" t="s">
        <v>74</v>
      </c>
      <c r="S31" t="s">
        <v>74</v>
      </c>
      <c r="T31" t="s">
        <v>598</v>
      </c>
      <c r="U31" t="s">
        <v>599</v>
      </c>
      <c r="V31" t="s">
        <v>600</v>
      </c>
      <c r="W31" t="s">
        <v>601</v>
      </c>
      <c r="X31" t="s">
        <v>602</v>
      </c>
      <c r="Y31" t="s">
        <v>603</v>
      </c>
      <c r="Z31" t="s">
        <v>604</v>
      </c>
      <c r="AA31" t="s">
        <v>74</v>
      </c>
      <c r="AB31" t="s">
        <v>74</v>
      </c>
      <c r="AC31" t="s">
        <v>74</v>
      </c>
      <c r="AD31" t="s">
        <v>74</v>
      </c>
      <c r="AE31" t="s">
        <v>74</v>
      </c>
      <c r="AF31" t="s">
        <v>74</v>
      </c>
      <c r="AG31">
        <v>56</v>
      </c>
      <c r="AH31">
        <v>18</v>
      </c>
      <c r="AI31">
        <v>20</v>
      </c>
      <c r="AJ31">
        <v>0</v>
      </c>
      <c r="AK31">
        <v>12</v>
      </c>
      <c r="AL31" t="s">
        <v>539</v>
      </c>
      <c r="AM31" t="s">
        <v>540</v>
      </c>
      <c r="AN31" t="s">
        <v>541</v>
      </c>
      <c r="AO31" t="s">
        <v>588</v>
      </c>
      <c r="AP31" t="s">
        <v>605</v>
      </c>
      <c r="AQ31" t="s">
        <v>74</v>
      </c>
      <c r="AR31" t="s">
        <v>589</v>
      </c>
      <c r="AS31" t="s">
        <v>590</v>
      </c>
      <c r="AT31" t="s">
        <v>606</v>
      </c>
      <c r="AU31">
        <v>2003</v>
      </c>
      <c r="AV31">
        <v>108</v>
      </c>
      <c r="AW31" t="s">
        <v>607</v>
      </c>
      <c r="AX31" t="s">
        <v>74</v>
      </c>
      <c r="AY31" t="s">
        <v>74</v>
      </c>
      <c r="AZ31" t="s">
        <v>74</v>
      </c>
      <c r="BA31" t="s">
        <v>74</v>
      </c>
      <c r="BB31" t="s">
        <v>74</v>
      </c>
      <c r="BC31" t="s">
        <v>74</v>
      </c>
      <c r="BD31">
        <v>8807</v>
      </c>
      <c r="BE31" t="s">
        <v>608</v>
      </c>
      <c r="BF31" t="str">
        <f>HYPERLINK("http://dx.doi.org/10.1029/2002JD003076","http://dx.doi.org/10.1029/2002JD003076")</f>
        <v>http://dx.doi.org/10.1029/2002JD003076</v>
      </c>
      <c r="BG31" t="s">
        <v>74</v>
      </c>
      <c r="BH31" t="s">
        <v>74</v>
      </c>
      <c r="BI31">
        <v>23</v>
      </c>
      <c r="BJ31" t="s">
        <v>93</v>
      </c>
      <c r="BK31" t="s">
        <v>94</v>
      </c>
      <c r="BL31" t="s">
        <v>93</v>
      </c>
      <c r="BM31" t="s">
        <v>609</v>
      </c>
      <c r="BN31" t="s">
        <v>74</v>
      </c>
      <c r="BO31" t="s">
        <v>551</v>
      </c>
      <c r="BP31" t="s">
        <v>74</v>
      </c>
      <c r="BQ31" t="s">
        <v>74</v>
      </c>
      <c r="BR31" t="s">
        <v>97</v>
      </c>
      <c r="BS31" t="s">
        <v>610</v>
      </c>
      <c r="BT31" t="str">
        <f>HYPERLINK("https%3A%2F%2Fwww.webofscience.com%2Fwos%2Fwoscc%2Ffull-record%2FWOS:000185651100001","View Full Record in Web of Science")</f>
        <v>View Full Record in Web of Science</v>
      </c>
    </row>
    <row r="32" spans="1:72" x14ac:dyDescent="0.15">
      <c r="A32" t="s">
        <v>72</v>
      </c>
      <c r="B32" t="s">
        <v>611</v>
      </c>
      <c r="C32" t="s">
        <v>74</v>
      </c>
      <c r="D32" t="s">
        <v>74</v>
      </c>
      <c r="E32" t="s">
        <v>74</v>
      </c>
      <c r="F32" t="s">
        <v>611</v>
      </c>
      <c r="G32" t="s">
        <v>74</v>
      </c>
      <c r="H32" t="s">
        <v>74</v>
      </c>
      <c r="I32" t="s">
        <v>612</v>
      </c>
      <c r="J32" t="s">
        <v>613</v>
      </c>
      <c r="K32" t="s">
        <v>74</v>
      </c>
      <c r="L32" t="s">
        <v>74</v>
      </c>
      <c r="M32" t="s">
        <v>77</v>
      </c>
      <c r="N32" t="s">
        <v>78</v>
      </c>
      <c r="O32" t="s">
        <v>74</v>
      </c>
      <c r="P32" t="s">
        <v>74</v>
      </c>
      <c r="Q32" t="s">
        <v>74</v>
      </c>
      <c r="R32" t="s">
        <v>74</v>
      </c>
      <c r="S32" t="s">
        <v>74</v>
      </c>
      <c r="T32" t="s">
        <v>614</v>
      </c>
      <c r="U32" t="s">
        <v>615</v>
      </c>
      <c r="V32" t="s">
        <v>616</v>
      </c>
      <c r="W32" t="s">
        <v>617</v>
      </c>
      <c r="X32" t="s">
        <v>618</v>
      </c>
      <c r="Y32" t="s">
        <v>619</v>
      </c>
      <c r="Z32" t="s">
        <v>620</v>
      </c>
      <c r="AA32" t="s">
        <v>74</v>
      </c>
      <c r="AB32" t="s">
        <v>74</v>
      </c>
      <c r="AC32" t="s">
        <v>74</v>
      </c>
      <c r="AD32" t="s">
        <v>74</v>
      </c>
      <c r="AE32" t="s">
        <v>74</v>
      </c>
      <c r="AF32" t="s">
        <v>74</v>
      </c>
      <c r="AG32">
        <v>87</v>
      </c>
      <c r="AH32">
        <v>57</v>
      </c>
      <c r="AI32">
        <v>63</v>
      </c>
      <c r="AJ32">
        <v>0</v>
      </c>
      <c r="AK32">
        <v>11</v>
      </c>
      <c r="AL32" t="s">
        <v>539</v>
      </c>
      <c r="AM32" t="s">
        <v>540</v>
      </c>
      <c r="AN32" t="s">
        <v>541</v>
      </c>
      <c r="AO32" t="s">
        <v>621</v>
      </c>
      <c r="AP32" t="s">
        <v>622</v>
      </c>
      <c r="AQ32" t="s">
        <v>74</v>
      </c>
      <c r="AR32" t="s">
        <v>613</v>
      </c>
      <c r="AS32" t="s">
        <v>623</v>
      </c>
      <c r="AT32" t="s">
        <v>606</v>
      </c>
      <c r="AU32">
        <v>2003</v>
      </c>
      <c r="AV32">
        <v>18</v>
      </c>
      <c r="AW32">
        <v>3</v>
      </c>
      <c r="AX32" t="s">
        <v>74</v>
      </c>
      <c r="AY32" t="s">
        <v>74</v>
      </c>
      <c r="AZ32" t="s">
        <v>74</v>
      </c>
      <c r="BA32" t="s">
        <v>74</v>
      </c>
      <c r="BB32" t="s">
        <v>74</v>
      </c>
      <c r="BC32" t="s">
        <v>74</v>
      </c>
      <c r="BD32">
        <v>1075</v>
      </c>
      <c r="BE32" t="s">
        <v>624</v>
      </c>
      <c r="BF32" t="str">
        <f>HYPERLINK("http://dx.doi.org/10.1029/2002PA000829","http://dx.doi.org/10.1029/2002PA000829")</f>
        <v>http://dx.doi.org/10.1029/2002PA000829</v>
      </c>
      <c r="BG32" t="s">
        <v>74</v>
      </c>
      <c r="BH32" t="s">
        <v>74</v>
      </c>
      <c r="BI32">
        <v>11</v>
      </c>
      <c r="BJ32" t="s">
        <v>625</v>
      </c>
      <c r="BK32" t="s">
        <v>94</v>
      </c>
      <c r="BL32" t="s">
        <v>626</v>
      </c>
      <c r="BM32" t="s">
        <v>627</v>
      </c>
      <c r="BN32" t="s">
        <v>74</v>
      </c>
      <c r="BO32" t="s">
        <v>628</v>
      </c>
      <c r="BP32" t="s">
        <v>74</v>
      </c>
      <c r="BQ32" t="s">
        <v>74</v>
      </c>
      <c r="BR32" t="s">
        <v>97</v>
      </c>
      <c r="BS32" t="s">
        <v>629</v>
      </c>
      <c r="BT32" t="str">
        <f>HYPERLINK("https%3A%2F%2Fwww.webofscience.com%2Fwos%2Fwoscc%2Ffull-record%2FWOS:000185652800001","View Full Record in Web of Science")</f>
        <v>View Full Record in Web of Science</v>
      </c>
    </row>
    <row r="33" spans="1:72" x14ac:dyDescent="0.15">
      <c r="A33" t="s">
        <v>72</v>
      </c>
      <c r="B33" t="s">
        <v>630</v>
      </c>
      <c r="C33" t="s">
        <v>74</v>
      </c>
      <c r="D33" t="s">
        <v>74</v>
      </c>
      <c r="E33" t="s">
        <v>74</v>
      </c>
      <c r="F33" t="s">
        <v>630</v>
      </c>
      <c r="G33" t="s">
        <v>74</v>
      </c>
      <c r="H33" t="s">
        <v>74</v>
      </c>
      <c r="I33" t="s">
        <v>631</v>
      </c>
      <c r="J33" t="s">
        <v>530</v>
      </c>
      <c r="K33" t="s">
        <v>74</v>
      </c>
      <c r="L33" t="s">
        <v>74</v>
      </c>
      <c r="M33" t="s">
        <v>77</v>
      </c>
      <c r="N33" t="s">
        <v>78</v>
      </c>
      <c r="O33" t="s">
        <v>74</v>
      </c>
      <c r="P33" t="s">
        <v>74</v>
      </c>
      <c r="Q33" t="s">
        <v>74</v>
      </c>
      <c r="R33" t="s">
        <v>74</v>
      </c>
      <c r="S33" t="s">
        <v>74</v>
      </c>
      <c r="T33" t="s">
        <v>74</v>
      </c>
      <c r="U33" t="s">
        <v>632</v>
      </c>
      <c r="V33" t="s">
        <v>633</v>
      </c>
      <c r="W33" t="s">
        <v>634</v>
      </c>
      <c r="X33" t="s">
        <v>635</v>
      </c>
      <c r="Y33" t="s">
        <v>636</v>
      </c>
      <c r="Z33" t="s">
        <v>74</v>
      </c>
      <c r="AA33" t="s">
        <v>637</v>
      </c>
      <c r="AB33" t="s">
        <v>638</v>
      </c>
      <c r="AC33" t="s">
        <v>74</v>
      </c>
      <c r="AD33" t="s">
        <v>74</v>
      </c>
      <c r="AE33" t="s">
        <v>74</v>
      </c>
      <c r="AF33" t="s">
        <v>74</v>
      </c>
      <c r="AG33">
        <v>21</v>
      </c>
      <c r="AH33">
        <v>32</v>
      </c>
      <c r="AI33">
        <v>40</v>
      </c>
      <c r="AJ33">
        <v>0</v>
      </c>
      <c r="AK33">
        <v>7</v>
      </c>
      <c r="AL33" t="s">
        <v>539</v>
      </c>
      <c r="AM33" t="s">
        <v>540</v>
      </c>
      <c r="AN33" t="s">
        <v>541</v>
      </c>
      <c r="AO33" t="s">
        <v>542</v>
      </c>
      <c r="AP33" t="s">
        <v>74</v>
      </c>
      <c r="AQ33" t="s">
        <v>74</v>
      </c>
      <c r="AR33" t="s">
        <v>544</v>
      </c>
      <c r="AS33" t="s">
        <v>545</v>
      </c>
      <c r="AT33" t="s">
        <v>639</v>
      </c>
      <c r="AU33">
        <v>2003</v>
      </c>
      <c r="AV33">
        <v>30</v>
      </c>
      <c r="AW33">
        <v>18</v>
      </c>
      <c r="AX33" t="s">
        <v>74</v>
      </c>
      <c r="AY33" t="s">
        <v>74</v>
      </c>
      <c r="AZ33" t="s">
        <v>74</v>
      </c>
      <c r="BA33" t="s">
        <v>74</v>
      </c>
      <c r="BB33" t="s">
        <v>74</v>
      </c>
      <c r="BC33" t="s">
        <v>74</v>
      </c>
      <c r="BD33">
        <v>1931</v>
      </c>
      <c r="BE33" t="s">
        <v>640</v>
      </c>
      <c r="BF33" t="str">
        <f>HYPERLINK("http://dx.doi.org/10.1029/2003GL018001","http://dx.doi.org/10.1029/2003GL018001")</f>
        <v>http://dx.doi.org/10.1029/2003GL018001</v>
      </c>
      <c r="BG33" t="s">
        <v>74</v>
      </c>
      <c r="BH33" t="s">
        <v>74</v>
      </c>
      <c r="BI33">
        <v>3</v>
      </c>
      <c r="BJ33" t="s">
        <v>548</v>
      </c>
      <c r="BK33" t="s">
        <v>94</v>
      </c>
      <c r="BL33" t="s">
        <v>549</v>
      </c>
      <c r="BM33" t="s">
        <v>641</v>
      </c>
      <c r="BN33" t="s">
        <v>74</v>
      </c>
      <c r="BO33" t="s">
        <v>74</v>
      </c>
      <c r="BP33" t="s">
        <v>74</v>
      </c>
      <c r="BQ33" t="s">
        <v>74</v>
      </c>
      <c r="BR33" t="s">
        <v>97</v>
      </c>
      <c r="BS33" t="s">
        <v>642</v>
      </c>
      <c r="BT33" t="str">
        <f>HYPERLINK("https%3A%2F%2Fwww.webofscience.com%2Fwos%2Fwoscc%2Ffull-record%2FWOS:000185476700005","View Full Record in Web of Science")</f>
        <v>View Full Record in Web of Science</v>
      </c>
    </row>
    <row r="34" spans="1:72" x14ac:dyDescent="0.15">
      <c r="A34" t="s">
        <v>72</v>
      </c>
      <c r="B34" t="s">
        <v>643</v>
      </c>
      <c r="C34" t="s">
        <v>74</v>
      </c>
      <c r="D34" t="s">
        <v>74</v>
      </c>
      <c r="E34" t="s">
        <v>74</v>
      </c>
      <c r="F34" t="s">
        <v>643</v>
      </c>
      <c r="G34" t="s">
        <v>74</v>
      </c>
      <c r="H34" t="s">
        <v>74</v>
      </c>
      <c r="I34" t="s">
        <v>644</v>
      </c>
      <c r="J34" t="s">
        <v>645</v>
      </c>
      <c r="K34" t="s">
        <v>74</v>
      </c>
      <c r="L34" t="s">
        <v>74</v>
      </c>
      <c r="M34" t="s">
        <v>77</v>
      </c>
      <c r="N34" t="s">
        <v>78</v>
      </c>
      <c r="O34" t="s">
        <v>74</v>
      </c>
      <c r="P34" t="s">
        <v>74</v>
      </c>
      <c r="Q34" t="s">
        <v>74</v>
      </c>
      <c r="R34" t="s">
        <v>74</v>
      </c>
      <c r="S34" t="s">
        <v>74</v>
      </c>
      <c r="T34" t="s">
        <v>646</v>
      </c>
      <c r="U34" t="s">
        <v>647</v>
      </c>
      <c r="V34" t="s">
        <v>648</v>
      </c>
      <c r="W34" t="s">
        <v>649</v>
      </c>
      <c r="X34" t="s">
        <v>650</v>
      </c>
      <c r="Y34" t="s">
        <v>651</v>
      </c>
      <c r="Z34" t="s">
        <v>74</v>
      </c>
      <c r="AA34" t="s">
        <v>74</v>
      </c>
      <c r="AB34" t="s">
        <v>652</v>
      </c>
      <c r="AC34" t="s">
        <v>74</v>
      </c>
      <c r="AD34" t="s">
        <v>74</v>
      </c>
      <c r="AE34" t="s">
        <v>74</v>
      </c>
      <c r="AF34" t="s">
        <v>74</v>
      </c>
      <c r="AG34">
        <v>65</v>
      </c>
      <c r="AH34">
        <v>27</v>
      </c>
      <c r="AI34">
        <v>28</v>
      </c>
      <c r="AJ34">
        <v>1</v>
      </c>
      <c r="AK34">
        <v>18</v>
      </c>
      <c r="AL34" t="s">
        <v>539</v>
      </c>
      <c r="AM34" t="s">
        <v>540</v>
      </c>
      <c r="AN34" t="s">
        <v>541</v>
      </c>
      <c r="AO34" t="s">
        <v>653</v>
      </c>
      <c r="AP34" t="s">
        <v>654</v>
      </c>
      <c r="AQ34" t="s">
        <v>74</v>
      </c>
      <c r="AR34" t="s">
        <v>655</v>
      </c>
      <c r="AS34" t="s">
        <v>656</v>
      </c>
      <c r="AT34" t="s">
        <v>657</v>
      </c>
      <c r="AU34">
        <v>2003</v>
      </c>
      <c r="AV34">
        <v>17</v>
      </c>
      <c r="AW34">
        <v>3</v>
      </c>
      <c r="AX34" t="s">
        <v>74</v>
      </c>
      <c r="AY34" t="s">
        <v>74</v>
      </c>
      <c r="AZ34" t="s">
        <v>74</v>
      </c>
      <c r="BA34" t="s">
        <v>74</v>
      </c>
      <c r="BB34" t="s">
        <v>74</v>
      </c>
      <c r="BC34" t="s">
        <v>74</v>
      </c>
      <c r="BD34">
        <v>1087</v>
      </c>
      <c r="BE34" t="s">
        <v>658</v>
      </c>
      <c r="BF34" t="str">
        <f>HYPERLINK("http://dx.doi.org/10.1029/2002GB001900","http://dx.doi.org/10.1029/2002GB001900")</f>
        <v>http://dx.doi.org/10.1029/2002GB001900</v>
      </c>
      <c r="BG34" t="s">
        <v>74</v>
      </c>
      <c r="BH34" t="s">
        <v>74</v>
      </c>
      <c r="BI34">
        <v>16</v>
      </c>
      <c r="BJ34" t="s">
        <v>659</v>
      </c>
      <c r="BK34" t="s">
        <v>94</v>
      </c>
      <c r="BL34" t="s">
        <v>660</v>
      </c>
      <c r="BM34" t="s">
        <v>661</v>
      </c>
      <c r="BN34" t="s">
        <v>74</v>
      </c>
      <c r="BO34" t="s">
        <v>96</v>
      </c>
      <c r="BP34" t="s">
        <v>74</v>
      </c>
      <c r="BQ34" t="s">
        <v>74</v>
      </c>
      <c r="BR34" t="s">
        <v>97</v>
      </c>
      <c r="BS34" t="s">
        <v>662</v>
      </c>
      <c r="BT34" t="str">
        <f>HYPERLINK("https%3A%2F%2Fwww.webofscience.com%2Fwos%2Fwoscc%2Ffull-record%2FWOS:000187310600001","View Full Record in Web of Science")</f>
        <v>View Full Record in Web of Science</v>
      </c>
    </row>
    <row r="35" spans="1:72" x14ac:dyDescent="0.15">
      <c r="A35" t="s">
        <v>72</v>
      </c>
      <c r="B35" t="s">
        <v>663</v>
      </c>
      <c r="C35" t="s">
        <v>74</v>
      </c>
      <c r="D35" t="s">
        <v>74</v>
      </c>
      <c r="E35" t="s">
        <v>74</v>
      </c>
      <c r="F35" t="s">
        <v>663</v>
      </c>
      <c r="G35" t="s">
        <v>74</v>
      </c>
      <c r="H35" t="s">
        <v>74</v>
      </c>
      <c r="I35" t="s">
        <v>664</v>
      </c>
      <c r="J35" t="s">
        <v>665</v>
      </c>
      <c r="K35" t="s">
        <v>74</v>
      </c>
      <c r="L35" t="s">
        <v>74</v>
      </c>
      <c r="M35" t="s">
        <v>77</v>
      </c>
      <c r="N35" t="s">
        <v>78</v>
      </c>
      <c r="O35" t="s">
        <v>74</v>
      </c>
      <c r="P35" t="s">
        <v>74</v>
      </c>
      <c r="Q35" t="s">
        <v>74</v>
      </c>
      <c r="R35" t="s">
        <v>74</v>
      </c>
      <c r="S35" t="s">
        <v>74</v>
      </c>
      <c r="T35" t="s">
        <v>666</v>
      </c>
      <c r="U35" t="s">
        <v>667</v>
      </c>
      <c r="V35" t="s">
        <v>668</v>
      </c>
      <c r="W35" t="s">
        <v>669</v>
      </c>
      <c r="X35" t="s">
        <v>74</v>
      </c>
      <c r="Y35" t="s">
        <v>670</v>
      </c>
      <c r="Z35" t="s">
        <v>671</v>
      </c>
      <c r="AA35" t="s">
        <v>74</v>
      </c>
      <c r="AB35" t="s">
        <v>74</v>
      </c>
      <c r="AC35" t="s">
        <v>74</v>
      </c>
      <c r="AD35" t="s">
        <v>74</v>
      </c>
      <c r="AE35" t="s">
        <v>74</v>
      </c>
      <c r="AF35" t="s">
        <v>74</v>
      </c>
      <c r="AG35">
        <v>16</v>
      </c>
      <c r="AH35">
        <v>40</v>
      </c>
      <c r="AI35">
        <v>42</v>
      </c>
      <c r="AJ35">
        <v>0</v>
      </c>
      <c r="AK35">
        <v>6</v>
      </c>
      <c r="AL35" t="s">
        <v>539</v>
      </c>
      <c r="AM35" t="s">
        <v>540</v>
      </c>
      <c r="AN35" t="s">
        <v>541</v>
      </c>
      <c r="AO35" t="s">
        <v>672</v>
      </c>
      <c r="AP35" t="s">
        <v>673</v>
      </c>
      <c r="AQ35" t="s">
        <v>74</v>
      </c>
      <c r="AR35" t="s">
        <v>674</v>
      </c>
      <c r="AS35" t="s">
        <v>675</v>
      </c>
      <c r="AT35" t="s">
        <v>657</v>
      </c>
      <c r="AU35">
        <v>2003</v>
      </c>
      <c r="AV35">
        <v>108</v>
      </c>
      <c r="AW35" t="s">
        <v>676</v>
      </c>
      <c r="AX35" t="s">
        <v>74</v>
      </c>
      <c r="AY35" t="s">
        <v>74</v>
      </c>
      <c r="AZ35" t="s">
        <v>74</v>
      </c>
      <c r="BA35" t="s">
        <v>74</v>
      </c>
      <c r="BB35" t="s">
        <v>74</v>
      </c>
      <c r="BC35" t="s">
        <v>74</v>
      </c>
      <c r="BD35">
        <v>3296</v>
      </c>
      <c r="BE35" t="s">
        <v>677</v>
      </c>
      <c r="BF35" t="str">
        <f>HYPERLINK("http://dx.doi.org/10.1029/2001JC001214","http://dx.doi.org/10.1029/2001JC001214")</f>
        <v>http://dx.doi.org/10.1029/2001JC001214</v>
      </c>
      <c r="BG35" t="s">
        <v>74</v>
      </c>
      <c r="BH35" t="s">
        <v>74</v>
      </c>
      <c r="BI35">
        <v>14</v>
      </c>
      <c r="BJ35" t="s">
        <v>678</v>
      </c>
      <c r="BK35" t="s">
        <v>94</v>
      </c>
      <c r="BL35" t="s">
        <v>678</v>
      </c>
      <c r="BM35" t="s">
        <v>679</v>
      </c>
      <c r="BN35" t="s">
        <v>74</v>
      </c>
      <c r="BO35" t="s">
        <v>96</v>
      </c>
      <c r="BP35" t="s">
        <v>74</v>
      </c>
      <c r="BQ35" t="s">
        <v>74</v>
      </c>
      <c r="BR35" t="s">
        <v>97</v>
      </c>
      <c r="BS35" t="s">
        <v>680</v>
      </c>
      <c r="BT35" t="str">
        <f>HYPERLINK("https%3A%2F%2Fwww.webofscience.com%2Fwos%2Fwoscc%2Ffull-record%2FWOS:000187311600001","View Full Record in Web of Science")</f>
        <v>View Full Record in Web of Science</v>
      </c>
    </row>
    <row r="36" spans="1:72" x14ac:dyDescent="0.15">
      <c r="A36" t="s">
        <v>72</v>
      </c>
      <c r="B36" t="s">
        <v>681</v>
      </c>
      <c r="C36" t="s">
        <v>74</v>
      </c>
      <c r="D36" t="s">
        <v>74</v>
      </c>
      <c r="E36" t="s">
        <v>74</v>
      </c>
      <c r="F36" t="s">
        <v>681</v>
      </c>
      <c r="G36" t="s">
        <v>74</v>
      </c>
      <c r="H36" t="s">
        <v>74</v>
      </c>
      <c r="I36" t="s">
        <v>682</v>
      </c>
      <c r="J36" t="s">
        <v>683</v>
      </c>
      <c r="K36" t="s">
        <v>74</v>
      </c>
      <c r="L36" t="s">
        <v>74</v>
      </c>
      <c r="M36" t="s">
        <v>77</v>
      </c>
      <c r="N36" t="s">
        <v>78</v>
      </c>
      <c r="O36" t="s">
        <v>74</v>
      </c>
      <c r="P36" t="s">
        <v>74</v>
      </c>
      <c r="Q36" t="s">
        <v>74</v>
      </c>
      <c r="R36" t="s">
        <v>74</v>
      </c>
      <c r="S36" t="s">
        <v>74</v>
      </c>
      <c r="T36" t="s">
        <v>684</v>
      </c>
      <c r="U36" t="s">
        <v>685</v>
      </c>
      <c r="V36" t="s">
        <v>686</v>
      </c>
      <c r="W36" t="s">
        <v>687</v>
      </c>
      <c r="X36" t="s">
        <v>688</v>
      </c>
      <c r="Y36" t="s">
        <v>689</v>
      </c>
      <c r="Z36" t="s">
        <v>690</v>
      </c>
      <c r="AA36" t="s">
        <v>691</v>
      </c>
      <c r="AB36" t="s">
        <v>692</v>
      </c>
      <c r="AC36" t="s">
        <v>74</v>
      </c>
      <c r="AD36" t="s">
        <v>74</v>
      </c>
      <c r="AE36" t="s">
        <v>74</v>
      </c>
      <c r="AF36" t="s">
        <v>74</v>
      </c>
      <c r="AG36">
        <v>49</v>
      </c>
      <c r="AH36">
        <v>43</v>
      </c>
      <c r="AI36">
        <v>43</v>
      </c>
      <c r="AJ36">
        <v>3</v>
      </c>
      <c r="AK36">
        <v>32</v>
      </c>
      <c r="AL36" t="s">
        <v>539</v>
      </c>
      <c r="AM36" t="s">
        <v>540</v>
      </c>
      <c r="AN36" t="s">
        <v>541</v>
      </c>
      <c r="AO36" t="s">
        <v>74</v>
      </c>
      <c r="AP36" t="s">
        <v>693</v>
      </c>
      <c r="AQ36" t="s">
        <v>74</v>
      </c>
      <c r="AR36" t="s">
        <v>694</v>
      </c>
      <c r="AS36" t="s">
        <v>695</v>
      </c>
      <c r="AT36" t="s">
        <v>696</v>
      </c>
      <c r="AU36">
        <v>2003</v>
      </c>
      <c r="AV36">
        <v>4</v>
      </c>
      <c r="AW36" t="s">
        <v>74</v>
      </c>
      <c r="AX36" t="s">
        <v>74</v>
      </c>
      <c r="AY36" t="s">
        <v>74</v>
      </c>
      <c r="AZ36" t="s">
        <v>74</v>
      </c>
      <c r="BA36" t="s">
        <v>74</v>
      </c>
      <c r="BB36" t="s">
        <v>74</v>
      </c>
      <c r="BC36" t="s">
        <v>74</v>
      </c>
      <c r="BD36">
        <v>1076</v>
      </c>
      <c r="BE36" t="s">
        <v>697</v>
      </c>
      <c r="BF36" t="str">
        <f>HYPERLINK("http://dx.doi.org/10.1029/2003GC000563","http://dx.doi.org/10.1029/2003GC000563")</f>
        <v>http://dx.doi.org/10.1029/2003GC000563</v>
      </c>
      <c r="BG36" t="s">
        <v>74</v>
      </c>
      <c r="BH36" t="s">
        <v>74</v>
      </c>
      <c r="BI36">
        <v>10</v>
      </c>
      <c r="BJ36" t="s">
        <v>176</v>
      </c>
      <c r="BK36" t="s">
        <v>94</v>
      </c>
      <c r="BL36" t="s">
        <v>176</v>
      </c>
      <c r="BM36" t="s">
        <v>698</v>
      </c>
      <c r="BN36" t="s">
        <v>74</v>
      </c>
      <c r="BO36" t="s">
        <v>96</v>
      </c>
      <c r="BP36" t="s">
        <v>74</v>
      </c>
      <c r="BQ36" t="s">
        <v>74</v>
      </c>
      <c r="BR36" t="s">
        <v>97</v>
      </c>
      <c r="BS36" t="s">
        <v>699</v>
      </c>
      <c r="BT36" t="str">
        <f>HYPERLINK("https%3A%2F%2Fwww.webofscience.com%2Fwos%2Fwoscc%2Ffull-record%2FWOS:000185475900002","View Full Record in Web of Science")</f>
        <v>View Full Record in Web of Science</v>
      </c>
    </row>
    <row r="37" spans="1:72" x14ac:dyDescent="0.15">
      <c r="A37" t="s">
        <v>72</v>
      </c>
      <c r="B37" t="s">
        <v>700</v>
      </c>
      <c r="C37" t="s">
        <v>74</v>
      </c>
      <c r="D37" t="s">
        <v>74</v>
      </c>
      <c r="E37" t="s">
        <v>74</v>
      </c>
      <c r="F37" t="s">
        <v>700</v>
      </c>
      <c r="G37" t="s">
        <v>74</v>
      </c>
      <c r="H37" t="s">
        <v>74</v>
      </c>
      <c r="I37" t="s">
        <v>701</v>
      </c>
      <c r="J37" t="s">
        <v>578</v>
      </c>
      <c r="K37" t="s">
        <v>74</v>
      </c>
      <c r="L37" t="s">
        <v>74</v>
      </c>
      <c r="M37" t="s">
        <v>77</v>
      </c>
      <c r="N37" t="s">
        <v>78</v>
      </c>
      <c r="O37" t="s">
        <v>74</v>
      </c>
      <c r="P37" t="s">
        <v>74</v>
      </c>
      <c r="Q37" t="s">
        <v>74</v>
      </c>
      <c r="R37" t="s">
        <v>74</v>
      </c>
      <c r="S37" t="s">
        <v>74</v>
      </c>
      <c r="T37" t="s">
        <v>702</v>
      </c>
      <c r="U37" t="s">
        <v>703</v>
      </c>
      <c r="V37" t="s">
        <v>704</v>
      </c>
      <c r="W37" t="s">
        <v>705</v>
      </c>
      <c r="X37" t="s">
        <v>706</v>
      </c>
      <c r="Y37" t="s">
        <v>269</v>
      </c>
      <c r="Z37" t="s">
        <v>707</v>
      </c>
      <c r="AA37" t="s">
        <v>708</v>
      </c>
      <c r="AB37" t="s">
        <v>709</v>
      </c>
      <c r="AC37" t="s">
        <v>74</v>
      </c>
      <c r="AD37" t="s">
        <v>74</v>
      </c>
      <c r="AE37" t="s">
        <v>74</v>
      </c>
      <c r="AF37" t="s">
        <v>74</v>
      </c>
      <c r="AG37">
        <v>28</v>
      </c>
      <c r="AH37">
        <v>35</v>
      </c>
      <c r="AI37">
        <v>40</v>
      </c>
      <c r="AJ37">
        <v>0</v>
      </c>
      <c r="AK37">
        <v>3</v>
      </c>
      <c r="AL37" t="s">
        <v>539</v>
      </c>
      <c r="AM37" t="s">
        <v>540</v>
      </c>
      <c r="AN37" t="s">
        <v>541</v>
      </c>
      <c r="AO37" t="s">
        <v>588</v>
      </c>
      <c r="AP37" t="s">
        <v>605</v>
      </c>
      <c r="AQ37" t="s">
        <v>74</v>
      </c>
      <c r="AR37" t="s">
        <v>589</v>
      </c>
      <c r="AS37" t="s">
        <v>590</v>
      </c>
      <c r="AT37" t="s">
        <v>696</v>
      </c>
      <c r="AU37">
        <v>2003</v>
      </c>
      <c r="AV37">
        <v>108</v>
      </c>
      <c r="AW37" t="s">
        <v>592</v>
      </c>
      <c r="AX37" t="s">
        <v>74</v>
      </c>
      <c r="AY37" t="s">
        <v>74</v>
      </c>
      <c r="AZ37" t="s">
        <v>74</v>
      </c>
      <c r="BA37" t="s">
        <v>74</v>
      </c>
      <c r="BB37" t="s">
        <v>74</v>
      </c>
      <c r="BC37" t="s">
        <v>74</v>
      </c>
      <c r="BD37">
        <v>4565</v>
      </c>
      <c r="BE37" t="s">
        <v>710</v>
      </c>
      <c r="BF37" t="str">
        <f>HYPERLINK("http://dx.doi.org/10.1029/2003JD003379","http://dx.doi.org/10.1029/2003JD003379")</f>
        <v>http://dx.doi.org/10.1029/2003JD003379</v>
      </c>
      <c r="BG37" t="s">
        <v>74</v>
      </c>
      <c r="BH37" t="s">
        <v>74</v>
      </c>
      <c r="BI37">
        <v>7</v>
      </c>
      <c r="BJ37" t="s">
        <v>93</v>
      </c>
      <c r="BK37" t="s">
        <v>94</v>
      </c>
      <c r="BL37" t="s">
        <v>93</v>
      </c>
      <c r="BM37" t="s">
        <v>711</v>
      </c>
      <c r="BN37" t="s">
        <v>74</v>
      </c>
      <c r="BO37" t="s">
        <v>96</v>
      </c>
      <c r="BP37" t="s">
        <v>74</v>
      </c>
      <c r="BQ37" t="s">
        <v>74</v>
      </c>
      <c r="BR37" t="s">
        <v>97</v>
      </c>
      <c r="BS37" t="s">
        <v>712</v>
      </c>
      <c r="BT37" t="str">
        <f>HYPERLINK("https%3A%2F%2Fwww.webofscience.com%2Fwos%2Fwoscc%2Ffull-record%2FWOS:000185477100006","View Full Record in Web of Science")</f>
        <v>View Full Record in Web of Science</v>
      </c>
    </row>
    <row r="38" spans="1:72" x14ac:dyDescent="0.15">
      <c r="A38" t="s">
        <v>72</v>
      </c>
      <c r="B38" t="s">
        <v>713</v>
      </c>
      <c r="C38" t="s">
        <v>74</v>
      </c>
      <c r="D38" t="s">
        <v>74</v>
      </c>
      <c r="E38" t="s">
        <v>74</v>
      </c>
      <c r="F38" t="s">
        <v>713</v>
      </c>
      <c r="G38" t="s">
        <v>74</v>
      </c>
      <c r="H38" t="s">
        <v>74</v>
      </c>
      <c r="I38" t="s">
        <v>714</v>
      </c>
      <c r="J38" t="s">
        <v>578</v>
      </c>
      <c r="K38" t="s">
        <v>74</v>
      </c>
      <c r="L38" t="s">
        <v>74</v>
      </c>
      <c r="M38" t="s">
        <v>77</v>
      </c>
      <c r="N38" t="s">
        <v>78</v>
      </c>
      <c r="O38" t="s">
        <v>74</v>
      </c>
      <c r="P38" t="s">
        <v>74</v>
      </c>
      <c r="Q38" t="s">
        <v>74</v>
      </c>
      <c r="R38" t="s">
        <v>74</v>
      </c>
      <c r="S38" t="s">
        <v>74</v>
      </c>
      <c r="T38" t="s">
        <v>715</v>
      </c>
      <c r="U38" t="s">
        <v>716</v>
      </c>
      <c r="V38" t="s">
        <v>717</v>
      </c>
      <c r="W38" t="s">
        <v>718</v>
      </c>
      <c r="X38" t="s">
        <v>719</v>
      </c>
      <c r="Y38" t="s">
        <v>720</v>
      </c>
      <c r="Z38" t="s">
        <v>721</v>
      </c>
      <c r="AA38" t="s">
        <v>722</v>
      </c>
      <c r="AB38" t="s">
        <v>723</v>
      </c>
      <c r="AC38" t="s">
        <v>74</v>
      </c>
      <c r="AD38" t="s">
        <v>74</v>
      </c>
      <c r="AE38" t="s">
        <v>74</v>
      </c>
      <c r="AF38" t="s">
        <v>74</v>
      </c>
      <c r="AG38">
        <v>56</v>
      </c>
      <c r="AH38">
        <v>46</v>
      </c>
      <c r="AI38">
        <v>49</v>
      </c>
      <c r="AJ38">
        <v>0</v>
      </c>
      <c r="AK38">
        <v>21</v>
      </c>
      <c r="AL38" t="s">
        <v>539</v>
      </c>
      <c r="AM38" t="s">
        <v>540</v>
      </c>
      <c r="AN38" t="s">
        <v>541</v>
      </c>
      <c r="AO38" t="s">
        <v>588</v>
      </c>
      <c r="AP38" t="s">
        <v>605</v>
      </c>
      <c r="AQ38" t="s">
        <v>74</v>
      </c>
      <c r="AR38" t="s">
        <v>589</v>
      </c>
      <c r="AS38" t="s">
        <v>590</v>
      </c>
      <c r="AT38" t="s">
        <v>696</v>
      </c>
      <c r="AU38">
        <v>2003</v>
      </c>
      <c r="AV38">
        <v>108</v>
      </c>
      <c r="AW38" t="s">
        <v>592</v>
      </c>
      <c r="AX38" t="s">
        <v>74</v>
      </c>
      <c r="AY38" t="s">
        <v>74</v>
      </c>
      <c r="AZ38" t="s">
        <v>74</v>
      </c>
      <c r="BA38" t="s">
        <v>74</v>
      </c>
      <c r="BB38" t="s">
        <v>74</v>
      </c>
      <c r="BC38" t="s">
        <v>74</v>
      </c>
      <c r="BD38">
        <v>4563</v>
      </c>
      <c r="BE38" t="s">
        <v>724</v>
      </c>
      <c r="BF38" t="str">
        <f>HYPERLINK("http://dx.doi.org/10.1029/2002JD003147","http://dx.doi.org/10.1029/2002JD003147")</f>
        <v>http://dx.doi.org/10.1029/2002JD003147</v>
      </c>
      <c r="BG38" t="s">
        <v>74</v>
      </c>
      <c r="BH38" t="s">
        <v>74</v>
      </c>
      <c r="BI38">
        <v>12</v>
      </c>
      <c r="BJ38" t="s">
        <v>93</v>
      </c>
      <c r="BK38" t="s">
        <v>94</v>
      </c>
      <c r="BL38" t="s">
        <v>93</v>
      </c>
      <c r="BM38" t="s">
        <v>711</v>
      </c>
      <c r="BN38" t="s">
        <v>74</v>
      </c>
      <c r="BO38" t="s">
        <v>628</v>
      </c>
      <c r="BP38" t="s">
        <v>74</v>
      </c>
      <c r="BQ38" t="s">
        <v>74</v>
      </c>
      <c r="BR38" t="s">
        <v>97</v>
      </c>
      <c r="BS38" t="s">
        <v>725</v>
      </c>
      <c r="BT38" t="str">
        <f>HYPERLINK("https%3A%2F%2Fwww.webofscience.com%2Fwos%2Fwoscc%2Ffull-record%2FWOS:000185477100003","View Full Record in Web of Science")</f>
        <v>View Full Record in Web of Science</v>
      </c>
    </row>
    <row r="39" spans="1:72" x14ac:dyDescent="0.15">
      <c r="A39" t="s">
        <v>72</v>
      </c>
      <c r="B39" t="s">
        <v>726</v>
      </c>
      <c r="C39" t="s">
        <v>74</v>
      </c>
      <c r="D39" t="s">
        <v>74</v>
      </c>
      <c r="E39" t="s">
        <v>74</v>
      </c>
      <c r="F39" t="s">
        <v>726</v>
      </c>
      <c r="G39" t="s">
        <v>74</v>
      </c>
      <c r="H39" t="s">
        <v>74</v>
      </c>
      <c r="I39" t="s">
        <v>727</v>
      </c>
      <c r="J39" t="s">
        <v>728</v>
      </c>
      <c r="K39" t="s">
        <v>74</v>
      </c>
      <c r="L39" t="s">
        <v>74</v>
      </c>
      <c r="M39" t="s">
        <v>77</v>
      </c>
      <c r="N39" t="s">
        <v>78</v>
      </c>
      <c r="O39" t="s">
        <v>74</v>
      </c>
      <c r="P39" t="s">
        <v>74</v>
      </c>
      <c r="Q39" t="s">
        <v>74</v>
      </c>
      <c r="R39" t="s">
        <v>74</v>
      </c>
      <c r="S39" t="s">
        <v>74</v>
      </c>
      <c r="T39" t="s">
        <v>729</v>
      </c>
      <c r="U39" t="s">
        <v>730</v>
      </c>
      <c r="V39" t="s">
        <v>731</v>
      </c>
      <c r="W39" t="s">
        <v>732</v>
      </c>
      <c r="X39" t="s">
        <v>371</v>
      </c>
      <c r="Y39" t="s">
        <v>733</v>
      </c>
      <c r="Z39" t="s">
        <v>734</v>
      </c>
      <c r="AA39" t="s">
        <v>74</v>
      </c>
      <c r="AB39" t="s">
        <v>735</v>
      </c>
      <c r="AC39" t="s">
        <v>74</v>
      </c>
      <c r="AD39" t="s">
        <v>74</v>
      </c>
      <c r="AE39" t="s">
        <v>74</v>
      </c>
      <c r="AF39" t="s">
        <v>74</v>
      </c>
      <c r="AG39">
        <v>57</v>
      </c>
      <c r="AH39">
        <v>238</v>
      </c>
      <c r="AI39">
        <v>259</v>
      </c>
      <c r="AJ39">
        <v>0</v>
      </c>
      <c r="AK39">
        <v>43</v>
      </c>
      <c r="AL39" t="s">
        <v>539</v>
      </c>
      <c r="AM39" t="s">
        <v>540</v>
      </c>
      <c r="AN39" t="s">
        <v>541</v>
      </c>
      <c r="AO39" t="s">
        <v>736</v>
      </c>
      <c r="AP39" t="s">
        <v>737</v>
      </c>
      <c r="AQ39" t="s">
        <v>74</v>
      </c>
      <c r="AR39" t="s">
        <v>738</v>
      </c>
      <c r="AS39" t="s">
        <v>739</v>
      </c>
      <c r="AT39" t="s">
        <v>696</v>
      </c>
      <c r="AU39">
        <v>2003</v>
      </c>
      <c r="AV39">
        <v>108</v>
      </c>
      <c r="AW39" t="s">
        <v>740</v>
      </c>
      <c r="AX39" t="s">
        <v>74</v>
      </c>
      <c r="AY39" t="s">
        <v>74</v>
      </c>
      <c r="AZ39" t="s">
        <v>74</v>
      </c>
      <c r="BA39" t="s">
        <v>74</v>
      </c>
      <c r="BB39" t="s">
        <v>74</v>
      </c>
      <c r="BC39" t="s">
        <v>74</v>
      </c>
      <c r="BD39">
        <v>2428</v>
      </c>
      <c r="BE39" t="s">
        <v>741</v>
      </c>
      <c r="BF39" t="str">
        <f>HYPERLINK("http://dx.doi.org/10.1029/2002JB001802","http://dx.doi.org/10.1029/2002JB001802")</f>
        <v>http://dx.doi.org/10.1029/2002JB001802</v>
      </c>
      <c r="BG39" t="s">
        <v>74</v>
      </c>
      <c r="BH39" t="s">
        <v>74</v>
      </c>
      <c r="BI39">
        <v>15</v>
      </c>
      <c r="BJ39" t="s">
        <v>176</v>
      </c>
      <c r="BK39" t="s">
        <v>94</v>
      </c>
      <c r="BL39" t="s">
        <v>176</v>
      </c>
      <c r="BM39" t="s">
        <v>742</v>
      </c>
      <c r="BN39" t="s">
        <v>74</v>
      </c>
      <c r="BO39" t="s">
        <v>96</v>
      </c>
      <c r="BP39" t="s">
        <v>74</v>
      </c>
      <c r="BQ39" t="s">
        <v>74</v>
      </c>
      <c r="BR39" t="s">
        <v>97</v>
      </c>
      <c r="BS39" t="s">
        <v>743</v>
      </c>
      <c r="BT39" t="str">
        <f>HYPERLINK("https%3A%2F%2Fwww.webofscience.com%2Fwos%2Fwoscc%2Ffull-record%2FWOS:000185479000002","View Full Record in Web of Science")</f>
        <v>View Full Record in Web of Science</v>
      </c>
    </row>
    <row r="40" spans="1:72" x14ac:dyDescent="0.15">
      <c r="A40" t="s">
        <v>72</v>
      </c>
      <c r="B40" t="s">
        <v>744</v>
      </c>
      <c r="C40" t="s">
        <v>74</v>
      </c>
      <c r="D40" t="s">
        <v>74</v>
      </c>
      <c r="E40" t="s">
        <v>74</v>
      </c>
      <c r="F40" t="s">
        <v>744</v>
      </c>
      <c r="G40" t="s">
        <v>74</v>
      </c>
      <c r="H40" t="s">
        <v>74</v>
      </c>
      <c r="I40" t="s">
        <v>745</v>
      </c>
      <c r="J40" t="s">
        <v>76</v>
      </c>
      <c r="K40" t="s">
        <v>74</v>
      </c>
      <c r="L40" t="s">
        <v>74</v>
      </c>
      <c r="M40" t="s">
        <v>77</v>
      </c>
      <c r="N40" t="s">
        <v>78</v>
      </c>
      <c r="O40" t="s">
        <v>74</v>
      </c>
      <c r="P40" t="s">
        <v>74</v>
      </c>
      <c r="Q40" t="s">
        <v>74</v>
      </c>
      <c r="R40" t="s">
        <v>74</v>
      </c>
      <c r="S40" t="s">
        <v>74</v>
      </c>
      <c r="T40" t="s">
        <v>74</v>
      </c>
      <c r="U40" t="s">
        <v>746</v>
      </c>
      <c r="V40" t="s">
        <v>747</v>
      </c>
      <c r="W40" t="s">
        <v>748</v>
      </c>
      <c r="X40" t="s">
        <v>749</v>
      </c>
      <c r="Y40" t="s">
        <v>750</v>
      </c>
      <c r="Z40" t="s">
        <v>751</v>
      </c>
      <c r="AA40" t="s">
        <v>752</v>
      </c>
      <c r="AB40" t="s">
        <v>753</v>
      </c>
      <c r="AC40" t="s">
        <v>74</v>
      </c>
      <c r="AD40" t="s">
        <v>74</v>
      </c>
      <c r="AE40" t="s">
        <v>74</v>
      </c>
      <c r="AF40" t="s">
        <v>74</v>
      </c>
      <c r="AG40">
        <v>19</v>
      </c>
      <c r="AH40">
        <v>57</v>
      </c>
      <c r="AI40">
        <v>63</v>
      </c>
      <c r="AJ40">
        <v>0</v>
      </c>
      <c r="AK40">
        <v>5</v>
      </c>
      <c r="AL40" t="s">
        <v>85</v>
      </c>
      <c r="AM40" t="s">
        <v>86</v>
      </c>
      <c r="AN40" t="s">
        <v>754</v>
      </c>
      <c r="AO40" t="s">
        <v>88</v>
      </c>
      <c r="AP40" t="s">
        <v>755</v>
      </c>
      <c r="AQ40" t="s">
        <v>74</v>
      </c>
      <c r="AR40" t="s">
        <v>89</v>
      </c>
      <c r="AS40" t="s">
        <v>90</v>
      </c>
      <c r="AT40" t="s">
        <v>756</v>
      </c>
      <c r="AU40">
        <v>2003</v>
      </c>
      <c r="AV40">
        <v>16</v>
      </c>
      <c r="AW40">
        <v>17</v>
      </c>
      <c r="AX40" t="s">
        <v>74</v>
      </c>
      <c r="AY40" t="s">
        <v>74</v>
      </c>
      <c r="AZ40" t="s">
        <v>74</v>
      </c>
      <c r="BA40" t="s">
        <v>74</v>
      </c>
      <c r="BB40">
        <v>2797</v>
      </c>
      <c r="BC40">
        <v>2801</v>
      </c>
      <c r="BD40" t="s">
        <v>74</v>
      </c>
      <c r="BE40" t="s">
        <v>757</v>
      </c>
      <c r="BF40" t="str">
        <f>HYPERLINK("http://dx.doi.org/10.1175/1520-0442(2003)016&lt;2797:OTLBTT&gt;2.0.CO;2","http://dx.doi.org/10.1175/1520-0442(2003)016&lt;2797:OTLBTT&gt;2.0.CO;2")</f>
        <v>http://dx.doi.org/10.1175/1520-0442(2003)016&lt;2797:OTLBTT&gt;2.0.CO;2</v>
      </c>
      <c r="BG40" t="s">
        <v>74</v>
      </c>
      <c r="BH40" t="s">
        <v>74</v>
      </c>
      <c r="BI40">
        <v>5</v>
      </c>
      <c r="BJ40" t="s">
        <v>93</v>
      </c>
      <c r="BK40" t="s">
        <v>94</v>
      </c>
      <c r="BL40" t="s">
        <v>93</v>
      </c>
      <c r="BM40" t="s">
        <v>758</v>
      </c>
      <c r="BN40" t="s">
        <v>74</v>
      </c>
      <c r="BO40" t="s">
        <v>759</v>
      </c>
      <c r="BP40" t="s">
        <v>74</v>
      </c>
      <c r="BQ40" t="s">
        <v>74</v>
      </c>
      <c r="BR40" t="s">
        <v>97</v>
      </c>
      <c r="BS40" t="s">
        <v>760</v>
      </c>
      <c r="BT40" t="str">
        <f>HYPERLINK("https%3A%2F%2Fwww.webofscience.com%2Fwos%2Fwoscc%2Ffull-record%2FWOS:000184969600001","View Full Record in Web of Science")</f>
        <v>View Full Record in Web of Science</v>
      </c>
    </row>
    <row r="41" spans="1:72" x14ac:dyDescent="0.15">
      <c r="A41" t="s">
        <v>72</v>
      </c>
      <c r="B41" t="s">
        <v>761</v>
      </c>
      <c r="C41" t="s">
        <v>74</v>
      </c>
      <c r="D41" t="s">
        <v>74</v>
      </c>
      <c r="E41" t="s">
        <v>74</v>
      </c>
      <c r="F41" t="s">
        <v>761</v>
      </c>
      <c r="G41" t="s">
        <v>74</v>
      </c>
      <c r="H41" t="s">
        <v>74</v>
      </c>
      <c r="I41" t="s">
        <v>762</v>
      </c>
      <c r="J41" t="s">
        <v>76</v>
      </c>
      <c r="K41" t="s">
        <v>74</v>
      </c>
      <c r="L41" t="s">
        <v>74</v>
      </c>
      <c r="M41" t="s">
        <v>77</v>
      </c>
      <c r="N41" t="s">
        <v>78</v>
      </c>
      <c r="O41" t="s">
        <v>74</v>
      </c>
      <c r="P41" t="s">
        <v>74</v>
      </c>
      <c r="Q41" t="s">
        <v>74</v>
      </c>
      <c r="R41" t="s">
        <v>74</v>
      </c>
      <c r="S41" t="s">
        <v>74</v>
      </c>
      <c r="T41" t="s">
        <v>74</v>
      </c>
      <c r="U41" t="s">
        <v>763</v>
      </c>
      <c r="V41" t="s">
        <v>764</v>
      </c>
      <c r="W41" t="s">
        <v>765</v>
      </c>
      <c r="X41" t="s">
        <v>766</v>
      </c>
      <c r="Y41" t="s">
        <v>767</v>
      </c>
      <c r="Z41" t="s">
        <v>74</v>
      </c>
      <c r="AA41" t="s">
        <v>74</v>
      </c>
      <c r="AB41" t="s">
        <v>74</v>
      </c>
      <c r="AC41" t="s">
        <v>74</v>
      </c>
      <c r="AD41" t="s">
        <v>74</v>
      </c>
      <c r="AE41" t="s">
        <v>74</v>
      </c>
      <c r="AF41" t="s">
        <v>74</v>
      </c>
      <c r="AG41">
        <v>17</v>
      </c>
      <c r="AH41">
        <v>119</v>
      </c>
      <c r="AI41">
        <v>136</v>
      </c>
      <c r="AJ41">
        <v>2</v>
      </c>
      <c r="AK41">
        <v>13</v>
      </c>
      <c r="AL41" t="s">
        <v>85</v>
      </c>
      <c r="AM41" t="s">
        <v>86</v>
      </c>
      <c r="AN41" t="s">
        <v>87</v>
      </c>
      <c r="AO41" t="s">
        <v>88</v>
      </c>
      <c r="AP41" t="s">
        <v>74</v>
      </c>
      <c r="AQ41" t="s">
        <v>74</v>
      </c>
      <c r="AR41" t="s">
        <v>89</v>
      </c>
      <c r="AS41" t="s">
        <v>90</v>
      </c>
      <c r="AT41" t="s">
        <v>756</v>
      </c>
      <c r="AU41">
        <v>2003</v>
      </c>
      <c r="AV41">
        <v>16</v>
      </c>
      <c r="AW41">
        <v>17</v>
      </c>
      <c r="AX41" t="s">
        <v>74</v>
      </c>
      <c r="AY41" t="s">
        <v>74</v>
      </c>
      <c r="AZ41" t="s">
        <v>74</v>
      </c>
      <c r="BA41" t="s">
        <v>74</v>
      </c>
      <c r="BB41">
        <v>2802</v>
      </c>
      <c r="BC41">
        <v>2805</v>
      </c>
      <c r="BD41" t="s">
        <v>74</v>
      </c>
      <c r="BE41" t="s">
        <v>768</v>
      </c>
      <c r="BF41" t="str">
        <f>HYPERLINK("http://dx.doi.org/10.1175/1520-0442(2003)016&lt;2802:ESHCHO&gt;2.0.CO;2","http://dx.doi.org/10.1175/1520-0442(2003)016&lt;2802:ESHCHO&gt;2.0.CO;2")</f>
        <v>http://dx.doi.org/10.1175/1520-0442(2003)016&lt;2802:ESHCHO&gt;2.0.CO;2</v>
      </c>
      <c r="BG41" t="s">
        <v>74</v>
      </c>
      <c r="BH41" t="s">
        <v>74</v>
      </c>
      <c r="BI41">
        <v>4</v>
      </c>
      <c r="BJ41" t="s">
        <v>93</v>
      </c>
      <c r="BK41" t="s">
        <v>94</v>
      </c>
      <c r="BL41" t="s">
        <v>93</v>
      </c>
      <c r="BM41" t="s">
        <v>758</v>
      </c>
      <c r="BN41" t="s">
        <v>74</v>
      </c>
      <c r="BO41" t="s">
        <v>759</v>
      </c>
      <c r="BP41" t="s">
        <v>74</v>
      </c>
      <c r="BQ41" t="s">
        <v>74</v>
      </c>
      <c r="BR41" t="s">
        <v>97</v>
      </c>
      <c r="BS41" t="s">
        <v>769</v>
      </c>
      <c r="BT41" t="str">
        <f>HYPERLINK("https%3A%2F%2Fwww.webofscience.com%2Fwos%2Fwoscc%2Ffull-record%2FWOS:000184969600002","View Full Record in Web of Science")</f>
        <v>View Full Record in Web of Science</v>
      </c>
    </row>
    <row r="42" spans="1:72" x14ac:dyDescent="0.15">
      <c r="A42" t="s">
        <v>72</v>
      </c>
      <c r="B42" t="s">
        <v>770</v>
      </c>
      <c r="C42" t="s">
        <v>74</v>
      </c>
      <c r="D42" t="s">
        <v>74</v>
      </c>
      <c r="E42" t="s">
        <v>74</v>
      </c>
      <c r="F42" t="s">
        <v>770</v>
      </c>
      <c r="G42" t="s">
        <v>74</v>
      </c>
      <c r="H42" t="s">
        <v>74</v>
      </c>
      <c r="I42" t="s">
        <v>771</v>
      </c>
      <c r="J42" t="s">
        <v>772</v>
      </c>
      <c r="K42" t="s">
        <v>74</v>
      </c>
      <c r="L42" t="s">
        <v>74</v>
      </c>
      <c r="M42" t="s">
        <v>77</v>
      </c>
      <c r="N42" t="s">
        <v>773</v>
      </c>
      <c r="O42" t="s">
        <v>74</v>
      </c>
      <c r="P42" t="s">
        <v>74</v>
      </c>
      <c r="Q42" t="s">
        <v>74</v>
      </c>
      <c r="R42" t="s">
        <v>74</v>
      </c>
      <c r="S42" t="s">
        <v>74</v>
      </c>
      <c r="T42" t="s">
        <v>74</v>
      </c>
      <c r="U42" t="s">
        <v>774</v>
      </c>
      <c r="V42" t="s">
        <v>74</v>
      </c>
      <c r="W42" t="s">
        <v>775</v>
      </c>
      <c r="X42" t="s">
        <v>776</v>
      </c>
      <c r="Y42" t="s">
        <v>777</v>
      </c>
      <c r="Z42" t="s">
        <v>778</v>
      </c>
      <c r="AA42" t="s">
        <v>779</v>
      </c>
      <c r="AB42" t="s">
        <v>780</v>
      </c>
      <c r="AC42" t="s">
        <v>74</v>
      </c>
      <c r="AD42" t="s">
        <v>74</v>
      </c>
      <c r="AE42" t="s">
        <v>74</v>
      </c>
      <c r="AF42" t="s">
        <v>74</v>
      </c>
      <c r="AG42">
        <v>38</v>
      </c>
      <c r="AH42">
        <v>14</v>
      </c>
      <c r="AI42">
        <v>19</v>
      </c>
      <c r="AJ42">
        <v>0</v>
      </c>
      <c r="AK42">
        <v>3</v>
      </c>
      <c r="AL42" t="s">
        <v>781</v>
      </c>
      <c r="AM42" t="s">
        <v>111</v>
      </c>
      <c r="AN42" t="s">
        <v>782</v>
      </c>
      <c r="AO42" t="s">
        <v>783</v>
      </c>
      <c r="AP42" t="s">
        <v>784</v>
      </c>
      <c r="AQ42" t="s">
        <v>74</v>
      </c>
      <c r="AR42" t="s">
        <v>785</v>
      </c>
      <c r="AS42" t="s">
        <v>786</v>
      </c>
      <c r="AT42" t="s">
        <v>756</v>
      </c>
      <c r="AU42">
        <v>2003</v>
      </c>
      <c r="AV42">
        <v>198</v>
      </c>
      <c r="AW42" t="s">
        <v>787</v>
      </c>
      <c r="AX42" t="s">
        <v>74</v>
      </c>
      <c r="AY42" t="s">
        <v>74</v>
      </c>
      <c r="AZ42" t="s">
        <v>74</v>
      </c>
      <c r="BA42" t="s">
        <v>74</v>
      </c>
      <c r="BB42">
        <v>1</v>
      </c>
      <c r="BC42">
        <v>9</v>
      </c>
      <c r="BD42" t="s">
        <v>74</v>
      </c>
      <c r="BE42" t="s">
        <v>788</v>
      </c>
      <c r="BF42" t="str">
        <f>HYPERLINK("http://dx.doi.org/10.1016/S0031-0182(03)00405-X","http://dx.doi.org/10.1016/S0031-0182(03)00405-X")</f>
        <v>http://dx.doi.org/10.1016/S0031-0182(03)00405-X</v>
      </c>
      <c r="BG42" t="s">
        <v>74</v>
      </c>
      <c r="BH42" t="s">
        <v>74</v>
      </c>
      <c r="BI42">
        <v>9</v>
      </c>
      <c r="BJ42" t="s">
        <v>789</v>
      </c>
      <c r="BK42" t="s">
        <v>94</v>
      </c>
      <c r="BL42" t="s">
        <v>790</v>
      </c>
      <c r="BM42" t="s">
        <v>791</v>
      </c>
      <c r="BN42" t="s">
        <v>74</v>
      </c>
      <c r="BO42" t="s">
        <v>74</v>
      </c>
      <c r="BP42" t="s">
        <v>74</v>
      </c>
      <c r="BQ42" t="s">
        <v>74</v>
      </c>
      <c r="BR42" t="s">
        <v>97</v>
      </c>
      <c r="BS42" t="s">
        <v>792</v>
      </c>
      <c r="BT42" t="str">
        <f>HYPERLINK("https%3A%2F%2Fwww.webofscience.com%2Fwos%2Fwoscc%2Ffull-record%2FWOS:000185421100001","View Full Record in Web of Science")</f>
        <v>View Full Record in Web of Science</v>
      </c>
    </row>
    <row r="43" spans="1:72" x14ac:dyDescent="0.15">
      <c r="A43" t="s">
        <v>72</v>
      </c>
      <c r="B43" t="s">
        <v>793</v>
      </c>
      <c r="C43" t="s">
        <v>74</v>
      </c>
      <c r="D43" t="s">
        <v>74</v>
      </c>
      <c r="E43" t="s">
        <v>74</v>
      </c>
      <c r="F43" t="s">
        <v>793</v>
      </c>
      <c r="G43" t="s">
        <v>74</v>
      </c>
      <c r="H43" t="s">
        <v>74</v>
      </c>
      <c r="I43" t="s">
        <v>794</v>
      </c>
      <c r="J43" t="s">
        <v>772</v>
      </c>
      <c r="K43" t="s">
        <v>74</v>
      </c>
      <c r="L43" t="s">
        <v>74</v>
      </c>
      <c r="M43" t="s">
        <v>77</v>
      </c>
      <c r="N43" t="s">
        <v>159</v>
      </c>
      <c r="O43" t="s">
        <v>795</v>
      </c>
      <c r="P43" t="s">
        <v>796</v>
      </c>
      <c r="Q43" t="s">
        <v>797</v>
      </c>
      <c r="R43" t="s">
        <v>74</v>
      </c>
      <c r="S43" t="s">
        <v>798</v>
      </c>
      <c r="T43" t="s">
        <v>799</v>
      </c>
      <c r="U43" t="s">
        <v>800</v>
      </c>
      <c r="V43" t="s">
        <v>801</v>
      </c>
      <c r="W43" t="s">
        <v>802</v>
      </c>
      <c r="X43" t="s">
        <v>803</v>
      </c>
      <c r="Y43" t="s">
        <v>804</v>
      </c>
      <c r="Z43" t="s">
        <v>805</v>
      </c>
      <c r="AA43" t="s">
        <v>806</v>
      </c>
      <c r="AB43" t="s">
        <v>74</v>
      </c>
      <c r="AC43" t="s">
        <v>74</v>
      </c>
      <c r="AD43" t="s">
        <v>74</v>
      </c>
      <c r="AE43" t="s">
        <v>74</v>
      </c>
      <c r="AF43" t="s">
        <v>74</v>
      </c>
      <c r="AG43">
        <v>95</v>
      </c>
      <c r="AH43">
        <v>363</v>
      </c>
      <c r="AI43">
        <v>408</v>
      </c>
      <c r="AJ43">
        <v>0</v>
      </c>
      <c r="AK43">
        <v>56</v>
      </c>
      <c r="AL43" t="s">
        <v>781</v>
      </c>
      <c r="AM43" t="s">
        <v>111</v>
      </c>
      <c r="AN43" t="s">
        <v>782</v>
      </c>
      <c r="AO43" t="s">
        <v>783</v>
      </c>
      <c r="AP43" t="s">
        <v>784</v>
      </c>
      <c r="AQ43" t="s">
        <v>74</v>
      </c>
      <c r="AR43" t="s">
        <v>785</v>
      </c>
      <c r="AS43" t="s">
        <v>786</v>
      </c>
      <c r="AT43" t="s">
        <v>756</v>
      </c>
      <c r="AU43">
        <v>2003</v>
      </c>
      <c r="AV43">
        <v>198</v>
      </c>
      <c r="AW43" t="s">
        <v>787</v>
      </c>
      <c r="AX43" t="s">
        <v>74</v>
      </c>
      <c r="AY43" t="s">
        <v>74</v>
      </c>
      <c r="AZ43" t="s">
        <v>74</v>
      </c>
      <c r="BA43" t="s">
        <v>74</v>
      </c>
      <c r="BB43">
        <v>11</v>
      </c>
      <c r="BC43">
        <v>37</v>
      </c>
      <c r="BD43" t="s">
        <v>74</v>
      </c>
      <c r="BE43" t="s">
        <v>807</v>
      </c>
      <c r="BF43" t="str">
        <f>HYPERLINK("http://dx.doi.org/10.1016/S0031-0182(03)00392-4","http://dx.doi.org/10.1016/S0031-0182(03)00392-4")</f>
        <v>http://dx.doi.org/10.1016/S0031-0182(03)00392-4</v>
      </c>
      <c r="BG43" t="s">
        <v>74</v>
      </c>
      <c r="BH43" t="s">
        <v>74</v>
      </c>
      <c r="BI43">
        <v>27</v>
      </c>
      <c r="BJ43" t="s">
        <v>789</v>
      </c>
      <c r="BK43" t="s">
        <v>177</v>
      </c>
      <c r="BL43" t="s">
        <v>790</v>
      </c>
      <c r="BM43" t="s">
        <v>791</v>
      </c>
      <c r="BN43" t="s">
        <v>74</v>
      </c>
      <c r="BO43" t="s">
        <v>74</v>
      </c>
      <c r="BP43" t="s">
        <v>74</v>
      </c>
      <c r="BQ43" t="s">
        <v>74</v>
      </c>
      <c r="BR43" t="s">
        <v>97</v>
      </c>
      <c r="BS43" t="s">
        <v>808</v>
      </c>
      <c r="BT43" t="str">
        <f>HYPERLINK("https%3A%2F%2Fwww.webofscience.com%2Fwos%2Fwoscc%2Ffull-record%2FWOS:000185421100002","View Full Record in Web of Science")</f>
        <v>View Full Record in Web of Science</v>
      </c>
    </row>
    <row r="44" spans="1:72" x14ac:dyDescent="0.15">
      <c r="A44" t="s">
        <v>72</v>
      </c>
      <c r="B44" t="s">
        <v>809</v>
      </c>
      <c r="C44" t="s">
        <v>74</v>
      </c>
      <c r="D44" t="s">
        <v>74</v>
      </c>
      <c r="E44" t="s">
        <v>74</v>
      </c>
      <c r="F44" t="s">
        <v>809</v>
      </c>
      <c r="G44" t="s">
        <v>74</v>
      </c>
      <c r="H44" t="s">
        <v>74</v>
      </c>
      <c r="I44" t="s">
        <v>810</v>
      </c>
      <c r="J44" t="s">
        <v>772</v>
      </c>
      <c r="K44" t="s">
        <v>74</v>
      </c>
      <c r="L44" t="s">
        <v>74</v>
      </c>
      <c r="M44" t="s">
        <v>77</v>
      </c>
      <c r="N44" t="s">
        <v>159</v>
      </c>
      <c r="O44" t="s">
        <v>795</v>
      </c>
      <c r="P44" t="s">
        <v>796</v>
      </c>
      <c r="Q44" t="s">
        <v>797</v>
      </c>
      <c r="R44" t="s">
        <v>74</v>
      </c>
      <c r="S44" t="s">
        <v>798</v>
      </c>
      <c r="T44" t="s">
        <v>811</v>
      </c>
      <c r="U44" t="s">
        <v>812</v>
      </c>
      <c r="V44" t="s">
        <v>813</v>
      </c>
      <c r="W44" t="s">
        <v>814</v>
      </c>
      <c r="X44" t="s">
        <v>815</v>
      </c>
      <c r="Y44" t="s">
        <v>816</v>
      </c>
      <c r="Z44" t="s">
        <v>817</v>
      </c>
      <c r="AA44" t="s">
        <v>74</v>
      </c>
      <c r="AB44" t="s">
        <v>74</v>
      </c>
      <c r="AC44" t="s">
        <v>74</v>
      </c>
      <c r="AD44" t="s">
        <v>74</v>
      </c>
      <c r="AE44" t="s">
        <v>74</v>
      </c>
      <c r="AF44" t="s">
        <v>74</v>
      </c>
      <c r="AG44">
        <v>46</v>
      </c>
      <c r="AH44">
        <v>131</v>
      </c>
      <c r="AI44">
        <v>153</v>
      </c>
      <c r="AJ44">
        <v>2</v>
      </c>
      <c r="AK44">
        <v>45</v>
      </c>
      <c r="AL44" t="s">
        <v>781</v>
      </c>
      <c r="AM44" t="s">
        <v>111</v>
      </c>
      <c r="AN44" t="s">
        <v>782</v>
      </c>
      <c r="AO44" t="s">
        <v>783</v>
      </c>
      <c r="AP44" t="s">
        <v>784</v>
      </c>
      <c r="AQ44" t="s">
        <v>74</v>
      </c>
      <c r="AR44" t="s">
        <v>785</v>
      </c>
      <c r="AS44" t="s">
        <v>786</v>
      </c>
      <c r="AT44" t="s">
        <v>756</v>
      </c>
      <c r="AU44">
        <v>2003</v>
      </c>
      <c r="AV44">
        <v>198</v>
      </c>
      <c r="AW44" t="s">
        <v>787</v>
      </c>
      <c r="AX44" t="s">
        <v>74</v>
      </c>
      <c r="AY44" t="s">
        <v>74</v>
      </c>
      <c r="AZ44" t="s">
        <v>74</v>
      </c>
      <c r="BA44" t="s">
        <v>74</v>
      </c>
      <c r="BB44">
        <v>39</v>
      </c>
      <c r="BC44">
        <v>52</v>
      </c>
      <c r="BD44" t="s">
        <v>74</v>
      </c>
      <c r="BE44" t="s">
        <v>818</v>
      </c>
      <c r="BF44" t="str">
        <f>HYPERLINK("http://dx.doi.org/10.1016/S0031-0182(03)00393-6","http://dx.doi.org/10.1016/S0031-0182(03)00393-6")</f>
        <v>http://dx.doi.org/10.1016/S0031-0182(03)00393-6</v>
      </c>
      <c r="BG44" t="s">
        <v>74</v>
      </c>
      <c r="BH44" t="s">
        <v>74</v>
      </c>
      <c r="BI44">
        <v>14</v>
      </c>
      <c r="BJ44" t="s">
        <v>789</v>
      </c>
      <c r="BK44" t="s">
        <v>177</v>
      </c>
      <c r="BL44" t="s">
        <v>790</v>
      </c>
      <c r="BM44" t="s">
        <v>791</v>
      </c>
      <c r="BN44" t="s">
        <v>74</v>
      </c>
      <c r="BO44" t="s">
        <v>74</v>
      </c>
      <c r="BP44" t="s">
        <v>74</v>
      </c>
      <c r="BQ44" t="s">
        <v>74</v>
      </c>
      <c r="BR44" t="s">
        <v>97</v>
      </c>
      <c r="BS44" t="s">
        <v>819</v>
      </c>
      <c r="BT44" t="str">
        <f>HYPERLINK("https%3A%2F%2Fwww.webofscience.com%2Fwos%2Fwoscc%2Ffull-record%2FWOS:000185421100003","View Full Record in Web of Science")</f>
        <v>View Full Record in Web of Science</v>
      </c>
    </row>
    <row r="45" spans="1:72" x14ac:dyDescent="0.15">
      <c r="A45" t="s">
        <v>72</v>
      </c>
      <c r="B45" t="s">
        <v>820</v>
      </c>
      <c r="C45" t="s">
        <v>74</v>
      </c>
      <c r="D45" t="s">
        <v>74</v>
      </c>
      <c r="E45" t="s">
        <v>74</v>
      </c>
      <c r="F45" t="s">
        <v>820</v>
      </c>
      <c r="G45" t="s">
        <v>74</v>
      </c>
      <c r="H45" t="s">
        <v>74</v>
      </c>
      <c r="I45" t="s">
        <v>821</v>
      </c>
      <c r="J45" t="s">
        <v>772</v>
      </c>
      <c r="K45" t="s">
        <v>74</v>
      </c>
      <c r="L45" t="s">
        <v>74</v>
      </c>
      <c r="M45" t="s">
        <v>77</v>
      </c>
      <c r="N45" t="s">
        <v>159</v>
      </c>
      <c r="O45" t="s">
        <v>795</v>
      </c>
      <c r="P45" t="s">
        <v>796</v>
      </c>
      <c r="Q45" t="s">
        <v>797</v>
      </c>
      <c r="R45" t="s">
        <v>74</v>
      </c>
      <c r="S45" t="s">
        <v>798</v>
      </c>
      <c r="T45" t="s">
        <v>822</v>
      </c>
      <c r="U45" t="s">
        <v>823</v>
      </c>
      <c r="V45" t="s">
        <v>824</v>
      </c>
      <c r="W45" t="s">
        <v>825</v>
      </c>
      <c r="X45" t="s">
        <v>826</v>
      </c>
      <c r="Y45" t="s">
        <v>827</v>
      </c>
      <c r="Z45" t="s">
        <v>828</v>
      </c>
      <c r="AA45" t="s">
        <v>74</v>
      </c>
      <c r="AB45" t="s">
        <v>74</v>
      </c>
      <c r="AC45" t="s">
        <v>74</v>
      </c>
      <c r="AD45" t="s">
        <v>74</v>
      </c>
      <c r="AE45" t="s">
        <v>74</v>
      </c>
      <c r="AF45" t="s">
        <v>74</v>
      </c>
      <c r="AG45">
        <v>49</v>
      </c>
      <c r="AH45">
        <v>31</v>
      </c>
      <c r="AI45">
        <v>33</v>
      </c>
      <c r="AJ45">
        <v>0</v>
      </c>
      <c r="AK45">
        <v>12</v>
      </c>
      <c r="AL45" t="s">
        <v>781</v>
      </c>
      <c r="AM45" t="s">
        <v>111</v>
      </c>
      <c r="AN45" t="s">
        <v>782</v>
      </c>
      <c r="AO45" t="s">
        <v>783</v>
      </c>
      <c r="AP45" t="s">
        <v>784</v>
      </c>
      <c r="AQ45" t="s">
        <v>74</v>
      </c>
      <c r="AR45" t="s">
        <v>785</v>
      </c>
      <c r="AS45" t="s">
        <v>786</v>
      </c>
      <c r="AT45" t="s">
        <v>756</v>
      </c>
      <c r="AU45">
        <v>2003</v>
      </c>
      <c r="AV45">
        <v>198</v>
      </c>
      <c r="AW45" t="s">
        <v>787</v>
      </c>
      <c r="AX45" t="s">
        <v>74</v>
      </c>
      <c r="AY45" t="s">
        <v>74</v>
      </c>
      <c r="AZ45" t="s">
        <v>74</v>
      </c>
      <c r="BA45" t="s">
        <v>74</v>
      </c>
      <c r="BB45">
        <v>53</v>
      </c>
      <c r="BC45">
        <v>67</v>
      </c>
      <c r="BD45" t="s">
        <v>74</v>
      </c>
      <c r="BE45" t="s">
        <v>829</v>
      </c>
      <c r="BF45" t="str">
        <f>HYPERLINK("http://dx.doi.org/10.1016/S0031-0182(03)00394-8","http://dx.doi.org/10.1016/S0031-0182(03)00394-8")</f>
        <v>http://dx.doi.org/10.1016/S0031-0182(03)00394-8</v>
      </c>
      <c r="BG45" t="s">
        <v>74</v>
      </c>
      <c r="BH45" t="s">
        <v>74</v>
      </c>
      <c r="BI45">
        <v>15</v>
      </c>
      <c r="BJ45" t="s">
        <v>789</v>
      </c>
      <c r="BK45" t="s">
        <v>177</v>
      </c>
      <c r="BL45" t="s">
        <v>790</v>
      </c>
      <c r="BM45" t="s">
        <v>791</v>
      </c>
      <c r="BN45" t="s">
        <v>74</v>
      </c>
      <c r="BO45" t="s">
        <v>74</v>
      </c>
      <c r="BP45" t="s">
        <v>74</v>
      </c>
      <c r="BQ45" t="s">
        <v>74</v>
      </c>
      <c r="BR45" t="s">
        <v>97</v>
      </c>
      <c r="BS45" t="s">
        <v>830</v>
      </c>
      <c r="BT45" t="str">
        <f>HYPERLINK("https%3A%2F%2Fwww.webofscience.com%2Fwos%2Fwoscc%2Ffull-record%2FWOS:000185421100004","View Full Record in Web of Science")</f>
        <v>View Full Record in Web of Science</v>
      </c>
    </row>
    <row r="46" spans="1:72" x14ac:dyDescent="0.15">
      <c r="A46" t="s">
        <v>72</v>
      </c>
      <c r="B46" t="s">
        <v>831</v>
      </c>
      <c r="C46" t="s">
        <v>74</v>
      </c>
      <c r="D46" t="s">
        <v>74</v>
      </c>
      <c r="E46" t="s">
        <v>74</v>
      </c>
      <c r="F46" t="s">
        <v>831</v>
      </c>
      <c r="G46" t="s">
        <v>74</v>
      </c>
      <c r="H46" t="s">
        <v>74</v>
      </c>
      <c r="I46" t="s">
        <v>832</v>
      </c>
      <c r="J46" t="s">
        <v>772</v>
      </c>
      <c r="K46" t="s">
        <v>74</v>
      </c>
      <c r="L46" t="s">
        <v>74</v>
      </c>
      <c r="M46" t="s">
        <v>77</v>
      </c>
      <c r="N46" t="s">
        <v>159</v>
      </c>
      <c r="O46" t="s">
        <v>795</v>
      </c>
      <c r="P46" t="s">
        <v>796</v>
      </c>
      <c r="Q46" t="s">
        <v>797</v>
      </c>
      <c r="R46" t="s">
        <v>74</v>
      </c>
      <c r="S46" t="s">
        <v>798</v>
      </c>
      <c r="T46" t="s">
        <v>833</v>
      </c>
      <c r="U46" t="s">
        <v>834</v>
      </c>
      <c r="V46" t="s">
        <v>835</v>
      </c>
      <c r="W46" t="s">
        <v>836</v>
      </c>
      <c r="X46" t="s">
        <v>837</v>
      </c>
      <c r="Y46" t="s">
        <v>777</v>
      </c>
      <c r="Z46" t="s">
        <v>778</v>
      </c>
      <c r="AA46" t="s">
        <v>838</v>
      </c>
      <c r="AB46" t="s">
        <v>839</v>
      </c>
      <c r="AC46" t="s">
        <v>74</v>
      </c>
      <c r="AD46" t="s">
        <v>74</v>
      </c>
      <c r="AE46" t="s">
        <v>74</v>
      </c>
      <c r="AF46" t="s">
        <v>74</v>
      </c>
      <c r="AG46">
        <v>84</v>
      </c>
      <c r="AH46">
        <v>50</v>
      </c>
      <c r="AI46">
        <v>57</v>
      </c>
      <c r="AJ46">
        <v>2</v>
      </c>
      <c r="AK46">
        <v>14</v>
      </c>
      <c r="AL46" t="s">
        <v>110</v>
      </c>
      <c r="AM46" t="s">
        <v>111</v>
      </c>
      <c r="AN46" t="s">
        <v>112</v>
      </c>
      <c r="AO46" t="s">
        <v>783</v>
      </c>
      <c r="AP46" t="s">
        <v>784</v>
      </c>
      <c r="AQ46" t="s">
        <v>74</v>
      </c>
      <c r="AR46" t="s">
        <v>785</v>
      </c>
      <c r="AS46" t="s">
        <v>786</v>
      </c>
      <c r="AT46" t="s">
        <v>756</v>
      </c>
      <c r="AU46">
        <v>2003</v>
      </c>
      <c r="AV46">
        <v>198</v>
      </c>
      <c r="AW46" t="s">
        <v>787</v>
      </c>
      <c r="AX46" t="s">
        <v>74</v>
      </c>
      <c r="AY46" t="s">
        <v>74</v>
      </c>
      <c r="AZ46" t="s">
        <v>74</v>
      </c>
      <c r="BA46" t="s">
        <v>74</v>
      </c>
      <c r="BB46">
        <v>69</v>
      </c>
      <c r="BC46" t="s">
        <v>503</v>
      </c>
      <c r="BD46" t="s">
        <v>74</v>
      </c>
      <c r="BE46" t="s">
        <v>840</v>
      </c>
      <c r="BF46" t="str">
        <f>HYPERLINK("http://dx.doi.org/10.1016/S0031-0182(03)00395-X","http://dx.doi.org/10.1016/S0031-0182(03)00395-X")</f>
        <v>http://dx.doi.org/10.1016/S0031-0182(03)00395-X</v>
      </c>
      <c r="BG46" t="s">
        <v>74</v>
      </c>
      <c r="BH46" t="s">
        <v>74</v>
      </c>
      <c r="BI46">
        <v>30</v>
      </c>
      <c r="BJ46" t="s">
        <v>789</v>
      </c>
      <c r="BK46" t="s">
        <v>177</v>
      </c>
      <c r="BL46" t="s">
        <v>790</v>
      </c>
      <c r="BM46" t="s">
        <v>791</v>
      </c>
      <c r="BN46" t="s">
        <v>74</v>
      </c>
      <c r="BO46" t="s">
        <v>74</v>
      </c>
      <c r="BP46" t="s">
        <v>74</v>
      </c>
      <c r="BQ46" t="s">
        <v>74</v>
      </c>
      <c r="BR46" t="s">
        <v>97</v>
      </c>
      <c r="BS46" t="s">
        <v>841</v>
      </c>
      <c r="BT46" t="str">
        <f>HYPERLINK("https%3A%2F%2Fwww.webofscience.com%2Fwos%2Fwoscc%2Ffull-record%2FWOS:000185421100005","View Full Record in Web of Science")</f>
        <v>View Full Record in Web of Science</v>
      </c>
    </row>
    <row r="47" spans="1:72" x14ac:dyDescent="0.15">
      <c r="A47" t="s">
        <v>72</v>
      </c>
      <c r="B47" t="s">
        <v>842</v>
      </c>
      <c r="C47" t="s">
        <v>74</v>
      </c>
      <c r="D47" t="s">
        <v>74</v>
      </c>
      <c r="E47" t="s">
        <v>74</v>
      </c>
      <c r="F47" t="s">
        <v>842</v>
      </c>
      <c r="G47" t="s">
        <v>74</v>
      </c>
      <c r="H47" t="s">
        <v>74</v>
      </c>
      <c r="I47" t="s">
        <v>843</v>
      </c>
      <c r="J47" t="s">
        <v>772</v>
      </c>
      <c r="K47" t="s">
        <v>74</v>
      </c>
      <c r="L47" t="s">
        <v>74</v>
      </c>
      <c r="M47" t="s">
        <v>77</v>
      </c>
      <c r="N47" t="s">
        <v>159</v>
      </c>
      <c r="O47" t="s">
        <v>844</v>
      </c>
      <c r="P47" t="s">
        <v>796</v>
      </c>
      <c r="Q47" t="s">
        <v>797</v>
      </c>
      <c r="R47" t="s">
        <v>74</v>
      </c>
      <c r="S47" t="s">
        <v>798</v>
      </c>
      <c r="T47" t="s">
        <v>845</v>
      </c>
      <c r="U47" t="s">
        <v>846</v>
      </c>
      <c r="V47" t="s">
        <v>847</v>
      </c>
      <c r="W47" t="s">
        <v>848</v>
      </c>
      <c r="X47" t="s">
        <v>849</v>
      </c>
      <c r="Y47" t="s">
        <v>850</v>
      </c>
      <c r="Z47" t="s">
        <v>74</v>
      </c>
      <c r="AA47" t="s">
        <v>851</v>
      </c>
      <c r="AB47" t="s">
        <v>852</v>
      </c>
      <c r="AC47" t="s">
        <v>74</v>
      </c>
      <c r="AD47" t="s">
        <v>74</v>
      </c>
      <c r="AE47" t="s">
        <v>74</v>
      </c>
      <c r="AF47" t="s">
        <v>74</v>
      </c>
      <c r="AG47">
        <v>21</v>
      </c>
      <c r="AH47">
        <v>67</v>
      </c>
      <c r="AI47">
        <v>78</v>
      </c>
      <c r="AJ47">
        <v>0</v>
      </c>
      <c r="AK47">
        <v>12</v>
      </c>
      <c r="AL47" t="s">
        <v>110</v>
      </c>
      <c r="AM47" t="s">
        <v>111</v>
      </c>
      <c r="AN47" t="s">
        <v>112</v>
      </c>
      <c r="AO47" t="s">
        <v>783</v>
      </c>
      <c r="AP47" t="s">
        <v>74</v>
      </c>
      <c r="AQ47" t="s">
        <v>74</v>
      </c>
      <c r="AR47" t="s">
        <v>785</v>
      </c>
      <c r="AS47" t="s">
        <v>786</v>
      </c>
      <c r="AT47" t="s">
        <v>756</v>
      </c>
      <c r="AU47">
        <v>2003</v>
      </c>
      <c r="AV47">
        <v>198</v>
      </c>
      <c r="AW47" t="s">
        <v>787</v>
      </c>
      <c r="AX47" t="s">
        <v>74</v>
      </c>
      <c r="AY47" t="s">
        <v>74</v>
      </c>
      <c r="AZ47" t="s">
        <v>74</v>
      </c>
      <c r="BA47" t="s">
        <v>74</v>
      </c>
      <c r="BB47">
        <v>101</v>
      </c>
      <c r="BC47">
        <v>111</v>
      </c>
      <c r="BD47" t="s">
        <v>74</v>
      </c>
      <c r="BE47" t="s">
        <v>853</v>
      </c>
      <c r="BF47" t="str">
        <f>HYPERLINK("http://dx.doi.org/10.1016/S0031-0182(03)00396-1","http://dx.doi.org/10.1016/S0031-0182(03)00396-1")</f>
        <v>http://dx.doi.org/10.1016/S0031-0182(03)00396-1</v>
      </c>
      <c r="BG47" t="s">
        <v>74</v>
      </c>
      <c r="BH47" t="s">
        <v>74</v>
      </c>
      <c r="BI47">
        <v>11</v>
      </c>
      <c r="BJ47" t="s">
        <v>789</v>
      </c>
      <c r="BK47" t="s">
        <v>854</v>
      </c>
      <c r="BL47" t="s">
        <v>790</v>
      </c>
      <c r="BM47" t="s">
        <v>791</v>
      </c>
      <c r="BN47" t="s">
        <v>74</v>
      </c>
      <c r="BO47" t="s">
        <v>74</v>
      </c>
      <c r="BP47" t="s">
        <v>74</v>
      </c>
      <c r="BQ47" t="s">
        <v>74</v>
      </c>
      <c r="BR47" t="s">
        <v>97</v>
      </c>
      <c r="BS47" t="s">
        <v>855</v>
      </c>
      <c r="BT47" t="str">
        <f>HYPERLINK("https%3A%2F%2Fwww.webofscience.com%2Fwos%2Fwoscc%2Ffull-record%2FWOS:000185421100006","View Full Record in Web of Science")</f>
        <v>View Full Record in Web of Science</v>
      </c>
    </row>
    <row r="48" spans="1:72" x14ac:dyDescent="0.15">
      <c r="A48" t="s">
        <v>72</v>
      </c>
      <c r="B48" t="s">
        <v>856</v>
      </c>
      <c r="C48" t="s">
        <v>74</v>
      </c>
      <c r="D48" t="s">
        <v>74</v>
      </c>
      <c r="E48" t="s">
        <v>74</v>
      </c>
      <c r="F48" t="s">
        <v>856</v>
      </c>
      <c r="G48" t="s">
        <v>74</v>
      </c>
      <c r="H48" t="s">
        <v>74</v>
      </c>
      <c r="I48" t="s">
        <v>857</v>
      </c>
      <c r="J48" t="s">
        <v>772</v>
      </c>
      <c r="K48" t="s">
        <v>74</v>
      </c>
      <c r="L48" t="s">
        <v>74</v>
      </c>
      <c r="M48" t="s">
        <v>77</v>
      </c>
      <c r="N48" t="s">
        <v>159</v>
      </c>
      <c r="O48" t="s">
        <v>795</v>
      </c>
      <c r="P48" t="s">
        <v>796</v>
      </c>
      <c r="Q48" t="s">
        <v>797</v>
      </c>
      <c r="R48" t="s">
        <v>74</v>
      </c>
      <c r="S48" t="s">
        <v>798</v>
      </c>
      <c r="T48" t="s">
        <v>858</v>
      </c>
      <c r="U48" t="s">
        <v>859</v>
      </c>
      <c r="V48" t="s">
        <v>860</v>
      </c>
      <c r="W48" t="s">
        <v>861</v>
      </c>
      <c r="X48" t="s">
        <v>862</v>
      </c>
      <c r="Y48" t="s">
        <v>863</v>
      </c>
      <c r="Z48" t="s">
        <v>864</v>
      </c>
      <c r="AA48" t="s">
        <v>865</v>
      </c>
      <c r="AB48" t="s">
        <v>866</v>
      </c>
      <c r="AC48" t="s">
        <v>74</v>
      </c>
      <c r="AD48" t="s">
        <v>74</v>
      </c>
      <c r="AE48" t="s">
        <v>74</v>
      </c>
      <c r="AF48" t="s">
        <v>74</v>
      </c>
      <c r="AG48">
        <v>51</v>
      </c>
      <c r="AH48">
        <v>43</v>
      </c>
      <c r="AI48">
        <v>51</v>
      </c>
      <c r="AJ48">
        <v>2</v>
      </c>
      <c r="AK48">
        <v>20</v>
      </c>
      <c r="AL48" t="s">
        <v>110</v>
      </c>
      <c r="AM48" t="s">
        <v>111</v>
      </c>
      <c r="AN48" t="s">
        <v>112</v>
      </c>
      <c r="AO48" t="s">
        <v>783</v>
      </c>
      <c r="AP48" t="s">
        <v>784</v>
      </c>
      <c r="AQ48" t="s">
        <v>74</v>
      </c>
      <c r="AR48" t="s">
        <v>785</v>
      </c>
      <c r="AS48" t="s">
        <v>786</v>
      </c>
      <c r="AT48" t="s">
        <v>756</v>
      </c>
      <c r="AU48">
        <v>2003</v>
      </c>
      <c r="AV48">
        <v>198</v>
      </c>
      <c r="AW48" t="s">
        <v>787</v>
      </c>
      <c r="AX48" t="s">
        <v>74</v>
      </c>
      <c r="AY48" t="s">
        <v>74</v>
      </c>
      <c r="AZ48" t="s">
        <v>74</v>
      </c>
      <c r="BA48" t="s">
        <v>74</v>
      </c>
      <c r="BB48">
        <v>113</v>
      </c>
      <c r="BC48">
        <v>130</v>
      </c>
      <c r="BD48" t="s">
        <v>74</v>
      </c>
      <c r="BE48" t="s">
        <v>867</v>
      </c>
      <c r="BF48" t="str">
        <f>HYPERLINK("http://dx.doi.org/10.1016/S0031-0182(03)00399-7","http://dx.doi.org/10.1016/S0031-0182(03)00399-7")</f>
        <v>http://dx.doi.org/10.1016/S0031-0182(03)00399-7</v>
      </c>
      <c r="BG48" t="s">
        <v>74</v>
      </c>
      <c r="BH48" t="s">
        <v>74</v>
      </c>
      <c r="BI48">
        <v>18</v>
      </c>
      <c r="BJ48" t="s">
        <v>789</v>
      </c>
      <c r="BK48" t="s">
        <v>177</v>
      </c>
      <c r="BL48" t="s">
        <v>790</v>
      </c>
      <c r="BM48" t="s">
        <v>791</v>
      </c>
      <c r="BN48" t="s">
        <v>74</v>
      </c>
      <c r="BO48" t="s">
        <v>74</v>
      </c>
      <c r="BP48" t="s">
        <v>74</v>
      </c>
      <c r="BQ48" t="s">
        <v>74</v>
      </c>
      <c r="BR48" t="s">
        <v>97</v>
      </c>
      <c r="BS48" t="s">
        <v>868</v>
      </c>
      <c r="BT48" t="str">
        <f>HYPERLINK("https%3A%2F%2Fwww.webofscience.com%2Fwos%2Fwoscc%2Ffull-record%2FWOS:000185421100007","View Full Record in Web of Science")</f>
        <v>View Full Record in Web of Science</v>
      </c>
    </row>
    <row r="49" spans="1:72" x14ac:dyDescent="0.15">
      <c r="A49" t="s">
        <v>72</v>
      </c>
      <c r="B49" t="s">
        <v>869</v>
      </c>
      <c r="C49" t="s">
        <v>74</v>
      </c>
      <c r="D49" t="s">
        <v>74</v>
      </c>
      <c r="E49" t="s">
        <v>74</v>
      </c>
      <c r="F49" t="s">
        <v>869</v>
      </c>
      <c r="G49" t="s">
        <v>74</v>
      </c>
      <c r="H49" t="s">
        <v>74</v>
      </c>
      <c r="I49" t="s">
        <v>870</v>
      </c>
      <c r="J49" t="s">
        <v>772</v>
      </c>
      <c r="K49" t="s">
        <v>74</v>
      </c>
      <c r="L49" t="s">
        <v>74</v>
      </c>
      <c r="M49" t="s">
        <v>77</v>
      </c>
      <c r="N49" t="s">
        <v>159</v>
      </c>
      <c r="O49" t="s">
        <v>795</v>
      </c>
      <c r="P49" t="s">
        <v>796</v>
      </c>
      <c r="Q49" t="s">
        <v>797</v>
      </c>
      <c r="R49" t="s">
        <v>74</v>
      </c>
      <c r="S49" t="s">
        <v>798</v>
      </c>
      <c r="T49" t="s">
        <v>871</v>
      </c>
      <c r="U49" t="s">
        <v>872</v>
      </c>
      <c r="V49" t="s">
        <v>873</v>
      </c>
      <c r="W49" t="s">
        <v>874</v>
      </c>
      <c r="X49" t="s">
        <v>875</v>
      </c>
      <c r="Y49" t="s">
        <v>876</v>
      </c>
      <c r="Z49" t="s">
        <v>877</v>
      </c>
      <c r="AA49" t="s">
        <v>878</v>
      </c>
      <c r="AB49" t="s">
        <v>879</v>
      </c>
      <c r="AC49" t="s">
        <v>74</v>
      </c>
      <c r="AD49" t="s">
        <v>74</v>
      </c>
      <c r="AE49" t="s">
        <v>74</v>
      </c>
      <c r="AF49" t="s">
        <v>74</v>
      </c>
      <c r="AG49">
        <v>72</v>
      </c>
      <c r="AH49">
        <v>13</v>
      </c>
      <c r="AI49">
        <v>15</v>
      </c>
      <c r="AJ49">
        <v>0</v>
      </c>
      <c r="AK49">
        <v>0</v>
      </c>
      <c r="AL49" t="s">
        <v>781</v>
      </c>
      <c r="AM49" t="s">
        <v>111</v>
      </c>
      <c r="AN49" t="s">
        <v>782</v>
      </c>
      <c r="AO49" t="s">
        <v>783</v>
      </c>
      <c r="AP49" t="s">
        <v>784</v>
      </c>
      <c r="AQ49" t="s">
        <v>74</v>
      </c>
      <c r="AR49" t="s">
        <v>785</v>
      </c>
      <c r="AS49" t="s">
        <v>786</v>
      </c>
      <c r="AT49" t="s">
        <v>756</v>
      </c>
      <c r="AU49">
        <v>2003</v>
      </c>
      <c r="AV49">
        <v>198</v>
      </c>
      <c r="AW49" t="s">
        <v>787</v>
      </c>
      <c r="AX49" t="s">
        <v>74</v>
      </c>
      <c r="AY49" t="s">
        <v>74</v>
      </c>
      <c r="AZ49" t="s">
        <v>74</v>
      </c>
      <c r="BA49" t="s">
        <v>74</v>
      </c>
      <c r="BB49">
        <v>131</v>
      </c>
      <c r="BC49">
        <v>143</v>
      </c>
      <c r="BD49" t="s">
        <v>74</v>
      </c>
      <c r="BE49" t="s">
        <v>880</v>
      </c>
      <c r="BF49" t="str">
        <f>HYPERLINK("http://dx.doi.org/10.1016/S0031-0182(03)00398-5","http://dx.doi.org/10.1016/S0031-0182(03)00398-5")</f>
        <v>http://dx.doi.org/10.1016/S0031-0182(03)00398-5</v>
      </c>
      <c r="BG49" t="s">
        <v>74</v>
      </c>
      <c r="BH49" t="s">
        <v>74</v>
      </c>
      <c r="BI49">
        <v>13</v>
      </c>
      <c r="BJ49" t="s">
        <v>789</v>
      </c>
      <c r="BK49" t="s">
        <v>177</v>
      </c>
      <c r="BL49" t="s">
        <v>790</v>
      </c>
      <c r="BM49" t="s">
        <v>791</v>
      </c>
      <c r="BN49" t="s">
        <v>74</v>
      </c>
      <c r="BO49" t="s">
        <v>74</v>
      </c>
      <c r="BP49" t="s">
        <v>74</v>
      </c>
      <c r="BQ49" t="s">
        <v>74</v>
      </c>
      <c r="BR49" t="s">
        <v>97</v>
      </c>
      <c r="BS49" t="s">
        <v>881</v>
      </c>
      <c r="BT49" t="str">
        <f>HYPERLINK("https%3A%2F%2Fwww.webofscience.com%2Fwos%2Fwoscc%2Ffull-record%2FWOS:000185421100008","View Full Record in Web of Science")</f>
        <v>View Full Record in Web of Science</v>
      </c>
    </row>
    <row r="50" spans="1:72" x14ac:dyDescent="0.15">
      <c r="A50" t="s">
        <v>72</v>
      </c>
      <c r="B50" t="s">
        <v>882</v>
      </c>
      <c r="C50" t="s">
        <v>74</v>
      </c>
      <c r="D50" t="s">
        <v>74</v>
      </c>
      <c r="E50" t="s">
        <v>74</v>
      </c>
      <c r="F50" t="s">
        <v>882</v>
      </c>
      <c r="G50" t="s">
        <v>74</v>
      </c>
      <c r="H50" t="s">
        <v>74</v>
      </c>
      <c r="I50" t="s">
        <v>883</v>
      </c>
      <c r="J50" t="s">
        <v>772</v>
      </c>
      <c r="K50" t="s">
        <v>74</v>
      </c>
      <c r="L50" t="s">
        <v>74</v>
      </c>
      <c r="M50" t="s">
        <v>77</v>
      </c>
      <c r="N50" t="s">
        <v>159</v>
      </c>
      <c r="O50" t="s">
        <v>795</v>
      </c>
      <c r="P50" t="s">
        <v>796</v>
      </c>
      <c r="Q50" t="s">
        <v>797</v>
      </c>
      <c r="R50" t="s">
        <v>74</v>
      </c>
      <c r="S50" t="s">
        <v>798</v>
      </c>
      <c r="T50" t="s">
        <v>884</v>
      </c>
      <c r="U50" t="s">
        <v>885</v>
      </c>
      <c r="V50" t="s">
        <v>886</v>
      </c>
      <c r="W50" t="s">
        <v>887</v>
      </c>
      <c r="X50" t="s">
        <v>888</v>
      </c>
      <c r="Y50" t="s">
        <v>889</v>
      </c>
      <c r="Z50" t="s">
        <v>890</v>
      </c>
      <c r="AA50" t="s">
        <v>891</v>
      </c>
      <c r="AB50" t="s">
        <v>839</v>
      </c>
      <c r="AC50" t="s">
        <v>74</v>
      </c>
      <c r="AD50" t="s">
        <v>74</v>
      </c>
      <c r="AE50" t="s">
        <v>74</v>
      </c>
      <c r="AF50" t="s">
        <v>74</v>
      </c>
      <c r="AG50">
        <v>59</v>
      </c>
      <c r="AH50">
        <v>36</v>
      </c>
      <c r="AI50">
        <v>39</v>
      </c>
      <c r="AJ50">
        <v>0</v>
      </c>
      <c r="AK50">
        <v>5</v>
      </c>
      <c r="AL50" t="s">
        <v>110</v>
      </c>
      <c r="AM50" t="s">
        <v>111</v>
      </c>
      <c r="AN50" t="s">
        <v>112</v>
      </c>
      <c r="AO50" t="s">
        <v>783</v>
      </c>
      <c r="AP50" t="s">
        <v>784</v>
      </c>
      <c r="AQ50" t="s">
        <v>74</v>
      </c>
      <c r="AR50" t="s">
        <v>785</v>
      </c>
      <c r="AS50" t="s">
        <v>786</v>
      </c>
      <c r="AT50" t="s">
        <v>756</v>
      </c>
      <c r="AU50">
        <v>2003</v>
      </c>
      <c r="AV50">
        <v>198</v>
      </c>
      <c r="AW50" t="s">
        <v>787</v>
      </c>
      <c r="AX50" t="s">
        <v>74</v>
      </c>
      <c r="AY50" t="s">
        <v>74</v>
      </c>
      <c r="AZ50" t="s">
        <v>74</v>
      </c>
      <c r="BA50" t="s">
        <v>74</v>
      </c>
      <c r="BB50">
        <v>145</v>
      </c>
      <c r="BC50">
        <v>168</v>
      </c>
      <c r="BD50" t="s">
        <v>74</v>
      </c>
      <c r="BE50" t="s">
        <v>892</v>
      </c>
      <c r="BF50" t="str">
        <f>HYPERLINK("http://dx.doi.org/10.1016/S0031-0182(03)00397-3","http://dx.doi.org/10.1016/S0031-0182(03)00397-3")</f>
        <v>http://dx.doi.org/10.1016/S0031-0182(03)00397-3</v>
      </c>
      <c r="BG50" t="s">
        <v>74</v>
      </c>
      <c r="BH50" t="s">
        <v>74</v>
      </c>
      <c r="BI50">
        <v>24</v>
      </c>
      <c r="BJ50" t="s">
        <v>789</v>
      </c>
      <c r="BK50" t="s">
        <v>177</v>
      </c>
      <c r="BL50" t="s">
        <v>790</v>
      </c>
      <c r="BM50" t="s">
        <v>791</v>
      </c>
      <c r="BN50" t="s">
        <v>74</v>
      </c>
      <c r="BO50" t="s">
        <v>74</v>
      </c>
      <c r="BP50" t="s">
        <v>74</v>
      </c>
      <c r="BQ50" t="s">
        <v>74</v>
      </c>
      <c r="BR50" t="s">
        <v>97</v>
      </c>
      <c r="BS50" t="s">
        <v>893</v>
      </c>
      <c r="BT50" t="str">
        <f>HYPERLINK("https%3A%2F%2Fwww.webofscience.com%2Fwos%2Fwoscc%2Ffull-record%2FWOS:000185421100009","View Full Record in Web of Science")</f>
        <v>View Full Record in Web of Science</v>
      </c>
    </row>
    <row r="51" spans="1:72" x14ac:dyDescent="0.15">
      <c r="A51" t="s">
        <v>72</v>
      </c>
      <c r="B51" t="s">
        <v>894</v>
      </c>
      <c r="C51" t="s">
        <v>74</v>
      </c>
      <c r="D51" t="s">
        <v>74</v>
      </c>
      <c r="E51" t="s">
        <v>74</v>
      </c>
      <c r="F51" t="s">
        <v>894</v>
      </c>
      <c r="G51" t="s">
        <v>74</v>
      </c>
      <c r="H51" t="s">
        <v>74</v>
      </c>
      <c r="I51" t="s">
        <v>895</v>
      </c>
      <c r="J51" t="s">
        <v>772</v>
      </c>
      <c r="K51" t="s">
        <v>74</v>
      </c>
      <c r="L51" t="s">
        <v>74</v>
      </c>
      <c r="M51" t="s">
        <v>77</v>
      </c>
      <c r="N51" t="s">
        <v>159</v>
      </c>
      <c r="O51" t="s">
        <v>795</v>
      </c>
      <c r="P51" t="s">
        <v>796</v>
      </c>
      <c r="Q51" t="s">
        <v>797</v>
      </c>
      <c r="R51" t="s">
        <v>74</v>
      </c>
      <c r="S51" t="s">
        <v>798</v>
      </c>
      <c r="T51" t="s">
        <v>896</v>
      </c>
      <c r="U51" t="s">
        <v>897</v>
      </c>
      <c r="V51" t="s">
        <v>898</v>
      </c>
      <c r="W51" t="s">
        <v>899</v>
      </c>
      <c r="X51" t="s">
        <v>900</v>
      </c>
      <c r="Y51" t="s">
        <v>901</v>
      </c>
      <c r="Z51" t="s">
        <v>902</v>
      </c>
      <c r="AA51" t="s">
        <v>74</v>
      </c>
      <c r="AB51" t="s">
        <v>74</v>
      </c>
      <c r="AC51" t="s">
        <v>74</v>
      </c>
      <c r="AD51" t="s">
        <v>74</v>
      </c>
      <c r="AE51" t="s">
        <v>74</v>
      </c>
      <c r="AF51" t="s">
        <v>74</v>
      </c>
      <c r="AG51">
        <v>39</v>
      </c>
      <c r="AH51">
        <v>35</v>
      </c>
      <c r="AI51">
        <v>42</v>
      </c>
      <c r="AJ51">
        <v>0</v>
      </c>
      <c r="AK51">
        <v>9</v>
      </c>
      <c r="AL51" t="s">
        <v>110</v>
      </c>
      <c r="AM51" t="s">
        <v>111</v>
      </c>
      <c r="AN51" t="s">
        <v>112</v>
      </c>
      <c r="AO51" t="s">
        <v>783</v>
      </c>
      <c r="AP51" t="s">
        <v>784</v>
      </c>
      <c r="AQ51" t="s">
        <v>74</v>
      </c>
      <c r="AR51" t="s">
        <v>785</v>
      </c>
      <c r="AS51" t="s">
        <v>786</v>
      </c>
      <c r="AT51" t="s">
        <v>756</v>
      </c>
      <c r="AU51">
        <v>2003</v>
      </c>
      <c r="AV51">
        <v>198</v>
      </c>
      <c r="AW51" t="s">
        <v>787</v>
      </c>
      <c r="AX51" t="s">
        <v>74</v>
      </c>
      <c r="AY51" t="s">
        <v>74</v>
      </c>
      <c r="AZ51" t="s">
        <v>74</v>
      </c>
      <c r="BA51" t="s">
        <v>74</v>
      </c>
      <c r="BB51">
        <v>169</v>
      </c>
      <c r="BC51">
        <v>186</v>
      </c>
      <c r="BD51" t="s">
        <v>74</v>
      </c>
      <c r="BE51" t="s">
        <v>903</v>
      </c>
      <c r="BF51" t="str">
        <f>HYPERLINK("http://dx.doi.org/10.1016/S0031-0182(03)00400-0","http://dx.doi.org/10.1016/S0031-0182(03)00400-0")</f>
        <v>http://dx.doi.org/10.1016/S0031-0182(03)00400-0</v>
      </c>
      <c r="BG51" t="s">
        <v>74</v>
      </c>
      <c r="BH51" t="s">
        <v>74</v>
      </c>
      <c r="BI51">
        <v>18</v>
      </c>
      <c r="BJ51" t="s">
        <v>789</v>
      </c>
      <c r="BK51" t="s">
        <v>177</v>
      </c>
      <c r="BL51" t="s">
        <v>790</v>
      </c>
      <c r="BM51" t="s">
        <v>791</v>
      </c>
      <c r="BN51" t="s">
        <v>74</v>
      </c>
      <c r="BO51" t="s">
        <v>74</v>
      </c>
      <c r="BP51" t="s">
        <v>74</v>
      </c>
      <c r="BQ51" t="s">
        <v>74</v>
      </c>
      <c r="BR51" t="s">
        <v>97</v>
      </c>
      <c r="BS51" t="s">
        <v>904</v>
      </c>
      <c r="BT51" t="str">
        <f>HYPERLINK("https%3A%2F%2Fwww.webofscience.com%2Fwos%2Fwoscc%2Ffull-record%2FWOS:000185421100010","View Full Record in Web of Science")</f>
        <v>View Full Record in Web of Science</v>
      </c>
    </row>
    <row r="52" spans="1:72" x14ac:dyDescent="0.15">
      <c r="A52" t="s">
        <v>72</v>
      </c>
      <c r="B52" t="s">
        <v>905</v>
      </c>
      <c r="C52" t="s">
        <v>74</v>
      </c>
      <c r="D52" t="s">
        <v>74</v>
      </c>
      <c r="E52" t="s">
        <v>74</v>
      </c>
      <c r="F52" t="s">
        <v>905</v>
      </c>
      <c r="G52" t="s">
        <v>74</v>
      </c>
      <c r="H52" t="s">
        <v>74</v>
      </c>
      <c r="I52" t="s">
        <v>906</v>
      </c>
      <c r="J52" t="s">
        <v>772</v>
      </c>
      <c r="K52" t="s">
        <v>74</v>
      </c>
      <c r="L52" t="s">
        <v>74</v>
      </c>
      <c r="M52" t="s">
        <v>77</v>
      </c>
      <c r="N52" t="s">
        <v>159</v>
      </c>
      <c r="O52" t="s">
        <v>795</v>
      </c>
      <c r="P52" t="s">
        <v>796</v>
      </c>
      <c r="Q52" t="s">
        <v>797</v>
      </c>
      <c r="R52" t="s">
        <v>74</v>
      </c>
      <c r="S52" t="s">
        <v>798</v>
      </c>
      <c r="T52" t="s">
        <v>907</v>
      </c>
      <c r="U52" t="s">
        <v>908</v>
      </c>
      <c r="V52" t="s">
        <v>909</v>
      </c>
      <c r="W52" t="s">
        <v>910</v>
      </c>
      <c r="X52" t="s">
        <v>911</v>
      </c>
      <c r="Y52" t="s">
        <v>912</v>
      </c>
      <c r="Z52" t="s">
        <v>913</v>
      </c>
      <c r="AA52" t="s">
        <v>914</v>
      </c>
      <c r="AB52" t="s">
        <v>915</v>
      </c>
      <c r="AC52" t="s">
        <v>74</v>
      </c>
      <c r="AD52" t="s">
        <v>74</v>
      </c>
      <c r="AE52" t="s">
        <v>74</v>
      </c>
      <c r="AF52" t="s">
        <v>74</v>
      </c>
      <c r="AG52">
        <v>58</v>
      </c>
      <c r="AH52">
        <v>88</v>
      </c>
      <c r="AI52">
        <v>101</v>
      </c>
      <c r="AJ52">
        <v>0</v>
      </c>
      <c r="AK52">
        <v>25</v>
      </c>
      <c r="AL52" t="s">
        <v>110</v>
      </c>
      <c r="AM52" t="s">
        <v>111</v>
      </c>
      <c r="AN52" t="s">
        <v>112</v>
      </c>
      <c r="AO52" t="s">
        <v>783</v>
      </c>
      <c r="AP52" t="s">
        <v>784</v>
      </c>
      <c r="AQ52" t="s">
        <v>74</v>
      </c>
      <c r="AR52" t="s">
        <v>785</v>
      </c>
      <c r="AS52" t="s">
        <v>786</v>
      </c>
      <c r="AT52" t="s">
        <v>756</v>
      </c>
      <c r="AU52">
        <v>2003</v>
      </c>
      <c r="AV52">
        <v>198</v>
      </c>
      <c r="AW52" t="s">
        <v>787</v>
      </c>
      <c r="AX52" t="s">
        <v>74</v>
      </c>
      <c r="AY52" t="s">
        <v>74</v>
      </c>
      <c r="AZ52" t="s">
        <v>74</v>
      </c>
      <c r="BA52" t="s">
        <v>74</v>
      </c>
      <c r="BB52">
        <v>187</v>
      </c>
      <c r="BC52">
        <v>221</v>
      </c>
      <c r="BD52" t="s">
        <v>74</v>
      </c>
      <c r="BE52" t="s">
        <v>916</v>
      </c>
      <c r="BF52" t="str">
        <f>HYPERLINK("http://dx.doi.org/10.1016/S0031-0182(03)00401-2","http://dx.doi.org/10.1016/S0031-0182(03)00401-2")</f>
        <v>http://dx.doi.org/10.1016/S0031-0182(03)00401-2</v>
      </c>
      <c r="BG52" t="s">
        <v>74</v>
      </c>
      <c r="BH52" t="s">
        <v>74</v>
      </c>
      <c r="BI52">
        <v>35</v>
      </c>
      <c r="BJ52" t="s">
        <v>789</v>
      </c>
      <c r="BK52" t="s">
        <v>177</v>
      </c>
      <c r="BL52" t="s">
        <v>790</v>
      </c>
      <c r="BM52" t="s">
        <v>791</v>
      </c>
      <c r="BN52" t="s">
        <v>74</v>
      </c>
      <c r="BO52" t="s">
        <v>74</v>
      </c>
      <c r="BP52" t="s">
        <v>74</v>
      </c>
      <c r="BQ52" t="s">
        <v>74</v>
      </c>
      <c r="BR52" t="s">
        <v>97</v>
      </c>
      <c r="BS52" t="s">
        <v>917</v>
      </c>
      <c r="BT52" t="str">
        <f>HYPERLINK("https%3A%2F%2Fwww.webofscience.com%2Fwos%2Fwoscc%2Ffull-record%2FWOS:000185421100011","View Full Record in Web of Science")</f>
        <v>View Full Record in Web of Science</v>
      </c>
    </row>
    <row r="53" spans="1:72" x14ac:dyDescent="0.15">
      <c r="A53" t="s">
        <v>72</v>
      </c>
      <c r="B53" t="s">
        <v>918</v>
      </c>
      <c r="C53" t="s">
        <v>74</v>
      </c>
      <c r="D53" t="s">
        <v>74</v>
      </c>
      <c r="E53" t="s">
        <v>74</v>
      </c>
      <c r="F53" t="s">
        <v>918</v>
      </c>
      <c r="G53" t="s">
        <v>74</v>
      </c>
      <c r="H53" t="s">
        <v>74</v>
      </c>
      <c r="I53" t="s">
        <v>919</v>
      </c>
      <c r="J53" t="s">
        <v>772</v>
      </c>
      <c r="K53" t="s">
        <v>74</v>
      </c>
      <c r="L53" t="s">
        <v>74</v>
      </c>
      <c r="M53" t="s">
        <v>77</v>
      </c>
      <c r="N53" t="s">
        <v>159</v>
      </c>
      <c r="O53" t="s">
        <v>795</v>
      </c>
      <c r="P53" t="s">
        <v>796</v>
      </c>
      <c r="Q53" t="s">
        <v>797</v>
      </c>
      <c r="R53" t="s">
        <v>74</v>
      </c>
      <c r="S53" t="s">
        <v>798</v>
      </c>
      <c r="T53" t="s">
        <v>920</v>
      </c>
      <c r="U53" t="s">
        <v>921</v>
      </c>
      <c r="V53" t="s">
        <v>922</v>
      </c>
      <c r="W53" t="s">
        <v>923</v>
      </c>
      <c r="X53" t="s">
        <v>924</v>
      </c>
      <c r="Y53" t="s">
        <v>925</v>
      </c>
      <c r="Z53" t="s">
        <v>926</v>
      </c>
      <c r="AA53" t="s">
        <v>74</v>
      </c>
      <c r="AB53" t="s">
        <v>74</v>
      </c>
      <c r="AC53" t="s">
        <v>74</v>
      </c>
      <c r="AD53" t="s">
        <v>74</v>
      </c>
      <c r="AE53" t="s">
        <v>74</v>
      </c>
      <c r="AF53" t="s">
        <v>74</v>
      </c>
      <c r="AG53">
        <v>21</v>
      </c>
      <c r="AH53">
        <v>9</v>
      </c>
      <c r="AI53">
        <v>9</v>
      </c>
      <c r="AJ53">
        <v>1</v>
      </c>
      <c r="AK53">
        <v>12</v>
      </c>
      <c r="AL53" t="s">
        <v>781</v>
      </c>
      <c r="AM53" t="s">
        <v>111</v>
      </c>
      <c r="AN53" t="s">
        <v>782</v>
      </c>
      <c r="AO53" t="s">
        <v>783</v>
      </c>
      <c r="AP53" t="s">
        <v>784</v>
      </c>
      <c r="AQ53" t="s">
        <v>74</v>
      </c>
      <c r="AR53" t="s">
        <v>785</v>
      </c>
      <c r="AS53" t="s">
        <v>786</v>
      </c>
      <c r="AT53" t="s">
        <v>756</v>
      </c>
      <c r="AU53">
        <v>2003</v>
      </c>
      <c r="AV53">
        <v>198</v>
      </c>
      <c r="AW53" t="s">
        <v>787</v>
      </c>
      <c r="AX53" t="s">
        <v>74</v>
      </c>
      <c r="AY53" t="s">
        <v>74</v>
      </c>
      <c r="AZ53" t="s">
        <v>74</v>
      </c>
      <c r="BA53" t="s">
        <v>74</v>
      </c>
      <c r="BB53">
        <v>223</v>
      </c>
      <c r="BC53">
        <v>235</v>
      </c>
      <c r="BD53" t="s">
        <v>74</v>
      </c>
      <c r="BE53" t="s">
        <v>927</v>
      </c>
      <c r="BF53" t="str">
        <f>HYPERLINK("http://dx.doi.org/10.1016/S0031-0182(03)00402-4","http://dx.doi.org/10.1016/S0031-0182(03)00402-4")</f>
        <v>http://dx.doi.org/10.1016/S0031-0182(03)00402-4</v>
      </c>
      <c r="BG53" t="s">
        <v>74</v>
      </c>
      <c r="BH53" t="s">
        <v>74</v>
      </c>
      <c r="BI53">
        <v>13</v>
      </c>
      <c r="BJ53" t="s">
        <v>789</v>
      </c>
      <c r="BK53" t="s">
        <v>177</v>
      </c>
      <c r="BL53" t="s">
        <v>790</v>
      </c>
      <c r="BM53" t="s">
        <v>791</v>
      </c>
      <c r="BN53" t="s">
        <v>74</v>
      </c>
      <c r="BO53" t="s">
        <v>74</v>
      </c>
      <c r="BP53" t="s">
        <v>74</v>
      </c>
      <c r="BQ53" t="s">
        <v>74</v>
      </c>
      <c r="BR53" t="s">
        <v>97</v>
      </c>
      <c r="BS53" t="s">
        <v>928</v>
      </c>
      <c r="BT53" t="str">
        <f>HYPERLINK("https%3A%2F%2Fwww.webofscience.com%2Fwos%2Fwoscc%2Ffull-record%2FWOS:000185421100012","View Full Record in Web of Science")</f>
        <v>View Full Record in Web of Science</v>
      </c>
    </row>
    <row r="54" spans="1:72" x14ac:dyDescent="0.15">
      <c r="A54" t="s">
        <v>72</v>
      </c>
      <c r="B54" t="s">
        <v>929</v>
      </c>
      <c r="C54" t="s">
        <v>74</v>
      </c>
      <c r="D54" t="s">
        <v>74</v>
      </c>
      <c r="E54" t="s">
        <v>74</v>
      </c>
      <c r="F54" t="s">
        <v>929</v>
      </c>
      <c r="G54" t="s">
        <v>74</v>
      </c>
      <c r="H54" t="s">
        <v>74</v>
      </c>
      <c r="I54" t="s">
        <v>930</v>
      </c>
      <c r="J54" t="s">
        <v>772</v>
      </c>
      <c r="K54" t="s">
        <v>74</v>
      </c>
      <c r="L54" t="s">
        <v>74</v>
      </c>
      <c r="M54" t="s">
        <v>77</v>
      </c>
      <c r="N54" t="s">
        <v>159</v>
      </c>
      <c r="O54" t="s">
        <v>844</v>
      </c>
      <c r="P54" t="s">
        <v>796</v>
      </c>
      <c r="Q54" t="s">
        <v>797</v>
      </c>
      <c r="R54" t="s">
        <v>74</v>
      </c>
      <c r="S54" t="s">
        <v>798</v>
      </c>
      <c r="T54" t="s">
        <v>931</v>
      </c>
      <c r="U54" t="s">
        <v>932</v>
      </c>
      <c r="V54" t="s">
        <v>933</v>
      </c>
      <c r="W54" t="s">
        <v>934</v>
      </c>
      <c r="X54" t="s">
        <v>935</v>
      </c>
      <c r="Y54" t="s">
        <v>936</v>
      </c>
      <c r="Z54" t="s">
        <v>74</v>
      </c>
      <c r="AA54" t="s">
        <v>937</v>
      </c>
      <c r="AB54" t="s">
        <v>938</v>
      </c>
      <c r="AC54" t="s">
        <v>74</v>
      </c>
      <c r="AD54" t="s">
        <v>74</v>
      </c>
      <c r="AE54" t="s">
        <v>74</v>
      </c>
      <c r="AF54" t="s">
        <v>74</v>
      </c>
      <c r="AG54">
        <v>80</v>
      </c>
      <c r="AH54">
        <v>30</v>
      </c>
      <c r="AI54">
        <v>30</v>
      </c>
      <c r="AJ54">
        <v>2</v>
      </c>
      <c r="AK54">
        <v>16</v>
      </c>
      <c r="AL54" t="s">
        <v>110</v>
      </c>
      <c r="AM54" t="s">
        <v>111</v>
      </c>
      <c r="AN54" t="s">
        <v>112</v>
      </c>
      <c r="AO54" t="s">
        <v>783</v>
      </c>
      <c r="AP54" t="s">
        <v>74</v>
      </c>
      <c r="AQ54" t="s">
        <v>74</v>
      </c>
      <c r="AR54" t="s">
        <v>785</v>
      </c>
      <c r="AS54" t="s">
        <v>786</v>
      </c>
      <c r="AT54" t="s">
        <v>756</v>
      </c>
      <c r="AU54">
        <v>2003</v>
      </c>
      <c r="AV54">
        <v>198</v>
      </c>
      <c r="AW54" t="s">
        <v>787</v>
      </c>
      <c r="AX54" t="s">
        <v>74</v>
      </c>
      <c r="AY54" t="s">
        <v>74</v>
      </c>
      <c r="AZ54" t="s">
        <v>74</v>
      </c>
      <c r="BA54" t="s">
        <v>74</v>
      </c>
      <c r="BB54">
        <v>237</v>
      </c>
      <c r="BC54">
        <v>263</v>
      </c>
      <c r="BD54" t="s">
        <v>74</v>
      </c>
      <c r="BE54" t="s">
        <v>939</v>
      </c>
      <c r="BF54" t="str">
        <f>HYPERLINK("http://dx.doi.org/10.1016/S0031-0182(03)00403-6","http://dx.doi.org/10.1016/S0031-0182(03)00403-6")</f>
        <v>http://dx.doi.org/10.1016/S0031-0182(03)00403-6</v>
      </c>
      <c r="BG54" t="s">
        <v>74</v>
      </c>
      <c r="BH54" t="s">
        <v>74</v>
      </c>
      <c r="BI54">
        <v>27</v>
      </c>
      <c r="BJ54" t="s">
        <v>789</v>
      </c>
      <c r="BK54" t="s">
        <v>854</v>
      </c>
      <c r="BL54" t="s">
        <v>790</v>
      </c>
      <c r="BM54" t="s">
        <v>791</v>
      </c>
      <c r="BN54" t="s">
        <v>74</v>
      </c>
      <c r="BO54" t="s">
        <v>74</v>
      </c>
      <c r="BP54" t="s">
        <v>74</v>
      </c>
      <c r="BQ54" t="s">
        <v>74</v>
      </c>
      <c r="BR54" t="s">
        <v>97</v>
      </c>
      <c r="BS54" t="s">
        <v>940</v>
      </c>
      <c r="BT54" t="str">
        <f>HYPERLINK("https%3A%2F%2Fwww.webofscience.com%2Fwos%2Fwoscc%2Ffull-record%2FWOS:000185421100013","View Full Record in Web of Science")</f>
        <v>View Full Record in Web of Science</v>
      </c>
    </row>
    <row r="55" spans="1:72" x14ac:dyDescent="0.15">
      <c r="A55" t="s">
        <v>72</v>
      </c>
      <c r="B55" t="s">
        <v>941</v>
      </c>
      <c r="C55" t="s">
        <v>74</v>
      </c>
      <c r="D55" t="s">
        <v>74</v>
      </c>
      <c r="E55" t="s">
        <v>74</v>
      </c>
      <c r="F55" t="s">
        <v>941</v>
      </c>
      <c r="G55" t="s">
        <v>74</v>
      </c>
      <c r="H55" t="s">
        <v>74</v>
      </c>
      <c r="I55" t="s">
        <v>942</v>
      </c>
      <c r="J55" t="s">
        <v>772</v>
      </c>
      <c r="K55" t="s">
        <v>74</v>
      </c>
      <c r="L55" t="s">
        <v>74</v>
      </c>
      <c r="M55" t="s">
        <v>77</v>
      </c>
      <c r="N55" t="s">
        <v>159</v>
      </c>
      <c r="O55" t="s">
        <v>844</v>
      </c>
      <c r="P55" t="s">
        <v>796</v>
      </c>
      <c r="Q55" t="s">
        <v>797</v>
      </c>
      <c r="R55" t="s">
        <v>74</v>
      </c>
      <c r="S55" t="s">
        <v>798</v>
      </c>
      <c r="T55" t="s">
        <v>943</v>
      </c>
      <c r="U55" t="s">
        <v>944</v>
      </c>
      <c r="V55" t="s">
        <v>945</v>
      </c>
      <c r="W55" t="s">
        <v>946</v>
      </c>
      <c r="X55" t="s">
        <v>947</v>
      </c>
      <c r="Y55" t="s">
        <v>948</v>
      </c>
      <c r="Z55" t="s">
        <v>74</v>
      </c>
      <c r="AA55" t="s">
        <v>949</v>
      </c>
      <c r="AB55" t="s">
        <v>950</v>
      </c>
      <c r="AC55" t="s">
        <v>74</v>
      </c>
      <c r="AD55" t="s">
        <v>74</v>
      </c>
      <c r="AE55" t="s">
        <v>74</v>
      </c>
      <c r="AF55" t="s">
        <v>74</v>
      </c>
      <c r="AG55">
        <v>55</v>
      </c>
      <c r="AH55">
        <v>16</v>
      </c>
      <c r="AI55">
        <v>19</v>
      </c>
      <c r="AJ55">
        <v>2</v>
      </c>
      <c r="AK55">
        <v>11</v>
      </c>
      <c r="AL55" t="s">
        <v>110</v>
      </c>
      <c r="AM55" t="s">
        <v>111</v>
      </c>
      <c r="AN55" t="s">
        <v>112</v>
      </c>
      <c r="AO55" t="s">
        <v>783</v>
      </c>
      <c r="AP55" t="s">
        <v>74</v>
      </c>
      <c r="AQ55" t="s">
        <v>74</v>
      </c>
      <c r="AR55" t="s">
        <v>785</v>
      </c>
      <c r="AS55" t="s">
        <v>786</v>
      </c>
      <c r="AT55" t="s">
        <v>756</v>
      </c>
      <c r="AU55">
        <v>2003</v>
      </c>
      <c r="AV55">
        <v>198</v>
      </c>
      <c r="AW55" t="s">
        <v>787</v>
      </c>
      <c r="AX55" t="s">
        <v>74</v>
      </c>
      <c r="AY55" t="s">
        <v>74</v>
      </c>
      <c r="AZ55" t="s">
        <v>74</v>
      </c>
      <c r="BA55" t="s">
        <v>74</v>
      </c>
      <c r="BB55">
        <v>265</v>
      </c>
      <c r="BC55">
        <v>278</v>
      </c>
      <c r="BD55" t="s">
        <v>74</v>
      </c>
      <c r="BE55" t="s">
        <v>951</v>
      </c>
      <c r="BF55" t="str">
        <f>HYPERLINK("http://dx.doi.org/10.1016/S0031-0182(03)00404-8","http://dx.doi.org/10.1016/S0031-0182(03)00404-8")</f>
        <v>http://dx.doi.org/10.1016/S0031-0182(03)00404-8</v>
      </c>
      <c r="BG55" t="s">
        <v>74</v>
      </c>
      <c r="BH55" t="s">
        <v>74</v>
      </c>
      <c r="BI55">
        <v>14</v>
      </c>
      <c r="BJ55" t="s">
        <v>789</v>
      </c>
      <c r="BK55" t="s">
        <v>854</v>
      </c>
      <c r="BL55" t="s">
        <v>790</v>
      </c>
      <c r="BM55" t="s">
        <v>791</v>
      </c>
      <c r="BN55" t="s">
        <v>74</v>
      </c>
      <c r="BO55" t="s">
        <v>74</v>
      </c>
      <c r="BP55" t="s">
        <v>74</v>
      </c>
      <c r="BQ55" t="s">
        <v>74</v>
      </c>
      <c r="BR55" t="s">
        <v>97</v>
      </c>
      <c r="BS55" t="s">
        <v>952</v>
      </c>
      <c r="BT55" t="str">
        <f>HYPERLINK("https%3A%2F%2Fwww.webofscience.com%2Fwos%2Fwoscc%2Ffull-record%2FWOS:000185421100014","View Full Record in Web of Science")</f>
        <v>View Full Record in Web of Science</v>
      </c>
    </row>
    <row r="56" spans="1:72" x14ac:dyDescent="0.15">
      <c r="A56" t="s">
        <v>72</v>
      </c>
      <c r="B56" t="s">
        <v>953</v>
      </c>
      <c r="C56" t="s">
        <v>74</v>
      </c>
      <c r="D56" t="s">
        <v>74</v>
      </c>
      <c r="E56" t="s">
        <v>74</v>
      </c>
      <c r="F56" t="s">
        <v>953</v>
      </c>
      <c r="G56" t="s">
        <v>74</v>
      </c>
      <c r="H56" t="s">
        <v>74</v>
      </c>
      <c r="I56" t="s">
        <v>954</v>
      </c>
      <c r="J56" t="s">
        <v>955</v>
      </c>
      <c r="K56" t="s">
        <v>74</v>
      </c>
      <c r="L56" t="s">
        <v>74</v>
      </c>
      <c r="M56" t="s">
        <v>77</v>
      </c>
      <c r="N56" t="s">
        <v>78</v>
      </c>
      <c r="O56" t="s">
        <v>74</v>
      </c>
      <c r="P56" t="s">
        <v>74</v>
      </c>
      <c r="Q56" t="s">
        <v>74</v>
      </c>
      <c r="R56" t="s">
        <v>74</v>
      </c>
      <c r="S56" t="s">
        <v>74</v>
      </c>
      <c r="T56" t="s">
        <v>956</v>
      </c>
      <c r="U56" t="s">
        <v>957</v>
      </c>
      <c r="V56" t="s">
        <v>958</v>
      </c>
      <c r="W56" t="s">
        <v>959</v>
      </c>
      <c r="X56" t="s">
        <v>960</v>
      </c>
      <c r="Y56" t="s">
        <v>961</v>
      </c>
      <c r="Z56" t="s">
        <v>962</v>
      </c>
      <c r="AA56" t="s">
        <v>74</v>
      </c>
      <c r="AB56" t="s">
        <v>74</v>
      </c>
      <c r="AC56" t="s">
        <v>74</v>
      </c>
      <c r="AD56" t="s">
        <v>74</v>
      </c>
      <c r="AE56" t="s">
        <v>74</v>
      </c>
      <c r="AF56" t="s">
        <v>74</v>
      </c>
      <c r="AG56">
        <v>54</v>
      </c>
      <c r="AH56">
        <v>13</v>
      </c>
      <c r="AI56">
        <v>14</v>
      </c>
      <c r="AJ56">
        <v>0</v>
      </c>
      <c r="AK56">
        <v>4</v>
      </c>
      <c r="AL56" t="s">
        <v>963</v>
      </c>
      <c r="AM56" t="s">
        <v>964</v>
      </c>
      <c r="AN56" t="s">
        <v>965</v>
      </c>
      <c r="AO56" t="s">
        <v>966</v>
      </c>
      <c r="AP56" t="s">
        <v>967</v>
      </c>
      <c r="AQ56" t="s">
        <v>74</v>
      </c>
      <c r="AR56" t="s">
        <v>968</v>
      </c>
      <c r="AS56" t="s">
        <v>969</v>
      </c>
      <c r="AT56" t="s">
        <v>756</v>
      </c>
      <c r="AU56">
        <v>2003</v>
      </c>
      <c r="AV56">
        <v>361</v>
      </c>
      <c r="AW56">
        <v>1810</v>
      </c>
      <c r="AX56" t="s">
        <v>74</v>
      </c>
      <c r="AY56" t="s">
        <v>74</v>
      </c>
      <c r="AZ56" t="s">
        <v>74</v>
      </c>
      <c r="BA56" t="s">
        <v>74</v>
      </c>
      <c r="BB56">
        <v>2061</v>
      </c>
      <c r="BC56">
        <v>2078</v>
      </c>
      <c r="BD56" t="s">
        <v>74</v>
      </c>
      <c r="BE56" t="s">
        <v>970</v>
      </c>
      <c r="BF56" t="str">
        <f>HYPERLINK("http://dx.doi.org/10.1098/rsta.2003.1243","http://dx.doi.org/10.1098/rsta.2003.1243")</f>
        <v>http://dx.doi.org/10.1098/rsta.2003.1243</v>
      </c>
      <c r="BG56" t="s">
        <v>74</v>
      </c>
      <c r="BH56" t="s">
        <v>74</v>
      </c>
      <c r="BI56">
        <v>18</v>
      </c>
      <c r="BJ56" t="s">
        <v>971</v>
      </c>
      <c r="BK56" t="s">
        <v>94</v>
      </c>
      <c r="BL56" t="s">
        <v>972</v>
      </c>
      <c r="BM56" t="s">
        <v>973</v>
      </c>
      <c r="BN56">
        <v>14558909</v>
      </c>
      <c r="BO56" t="s">
        <v>974</v>
      </c>
      <c r="BP56" t="s">
        <v>74</v>
      </c>
      <c r="BQ56" t="s">
        <v>74</v>
      </c>
      <c r="BR56" t="s">
        <v>97</v>
      </c>
      <c r="BS56" t="s">
        <v>975</v>
      </c>
      <c r="BT56" t="str">
        <f>HYPERLINK("https%3A%2F%2Fwww.webofscience.com%2Fwos%2Fwoscc%2Ffull-record%2FWOS:000185482000026","View Full Record in Web of Science")</f>
        <v>View Full Record in Web of Science</v>
      </c>
    </row>
    <row r="57" spans="1:72" x14ac:dyDescent="0.15">
      <c r="A57" t="s">
        <v>72</v>
      </c>
      <c r="B57" t="s">
        <v>976</v>
      </c>
      <c r="C57" t="s">
        <v>74</v>
      </c>
      <c r="D57" t="s">
        <v>74</v>
      </c>
      <c r="E57" t="s">
        <v>74</v>
      </c>
      <c r="F57" t="s">
        <v>976</v>
      </c>
      <c r="G57" t="s">
        <v>74</v>
      </c>
      <c r="H57" t="s">
        <v>74</v>
      </c>
      <c r="I57" t="s">
        <v>977</v>
      </c>
      <c r="J57" t="s">
        <v>978</v>
      </c>
      <c r="K57" t="s">
        <v>74</v>
      </c>
      <c r="L57" t="s">
        <v>74</v>
      </c>
      <c r="M57" t="s">
        <v>77</v>
      </c>
      <c r="N57" t="s">
        <v>78</v>
      </c>
      <c r="O57" t="s">
        <v>74</v>
      </c>
      <c r="P57" t="s">
        <v>74</v>
      </c>
      <c r="Q57" t="s">
        <v>74</v>
      </c>
      <c r="R57" t="s">
        <v>74</v>
      </c>
      <c r="S57" t="s">
        <v>74</v>
      </c>
      <c r="T57" t="s">
        <v>979</v>
      </c>
      <c r="U57" t="s">
        <v>980</v>
      </c>
      <c r="V57" t="s">
        <v>981</v>
      </c>
      <c r="W57" t="s">
        <v>982</v>
      </c>
      <c r="X57" t="s">
        <v>983</v>
      </c>
      <c r="Y57" t="s">
        <v>984</v>
      </c>
      <c r="Z57" t="s">
        <v>985</v>
      </c>
      <c r="AA57" t="s">
        <v>986</v>
      </c>
      <c r="AB57" t="s">
        <v>987</v>
      </c>
      <c r="AC57" t="s">
        <v>74</v>
      </c>
      <c r="AD57" t="s">
        <v>74</v>
      </c>
      <c r="AE57" t="s">
        <v>74</v>
      </c>
      <c r="AF57" t="s">
        <v>74</v>
      </c>
      <c r="AG57">
        <v>46</v>
      </c>
      <c r="AH57">
        <v>136</v>
      </c>
      <c r="AI57">
        <v>147</v>
      </c>
      <c r="AJ57">
        <v>0</v>
      </c>
      <c r="AK57">
        <v>10</v>
      </c>
      <c r="AL57" t="s">
        <v>781</v>
      </c>
      <c r="AM57" t="s">
        <v>111</v>
      </c>
      <c r="AN57" t="s">
        <v>782</v>
      </c>
      <c r="AO57" t="s">
        <v>988</v>
      </c>
      <c r="AP57" t="s">
        <v>989</v>
      </c>
      <c r="AQ57" t="s">
        <v>74</v>
      </c>
      <c r="AR57" t="s">
        <v>990</v>
      </c>
      <c r="AS57" t="s">
        <v>991</v>
      </c>
      <c r="AT57" t="s">
        <v>756</v>
      </c>
      <c r="AU57">
        <v>2003</v>
      </c>
      <c r="AV57">
        <v>126</v>
      </c>
      <c r="AW57" t="s">
        <v>787</v>
      </c>
      <c r="AX57" t="s">
        <v>74</v>
      </c>
      <c r="AY57" t="s">
        <v>74</v>
      </c>
      <c r="AZ57" t="s">
        <v>74</v>
      </c>
      <c r="BA57" t="s">
        <v>74</v>
      </c>
      <c r="BB57">
        <v>27</v>
      </c>
      <c r="BC57">
        <v>53</v>
      </c>
      <c r="BD57" t="s">
        <v>74</v>
      </c>
      <c r="BE57" t="s">
        <v>992</v>
      </c>
      <c r="BF57" t="str">
        <f>HYPERLINK("http://dx.doi.org/10.1016/S0301-9268(03)00125-6","http://dx.doi.org/10.1016/S0301-9268(03)00125-6")</f>
        <v>http://dx.doi.org/10.1016/S0301-9268(03)00125-6</v>
      </c>
      <c r="BG57" t="s">
        <v>74</v>
      </c>
      <c r="BH57" t="s">
        <v>74</v>
      </c>
      <c r="BI57">
        <v>27</v>
      </c>
      <c r="BJ57" t="s">
        <v>548</v>
      </c>
      <c r="BK57" t="s">
        <v>94</v>
      </c>
      <c r="BL57" t="s">
        <v>549</v>
      </c>
      <c r="BM57" t="s">
        <v>993</v>
      </c>
      <c r="BN57" t="s">
        <v>74</v>
      </c>
      <c r="BO57" t="s">
        <v>74</v>
      </c>
      <c r="BP57" t="s">
        <v>74</v>
      </c>
      <c r="BQ57" t="s">
        <v>74</v>
      </c>
      <c r="BR57" t="s">
        <v>97</v>
      </c>
      <c r="BS57" t="s">
        <v>994</v>
      </c>
      <c r="BT57" t="str">
        <f>HYPERLINK("https%3A%2F%2Fwww.webofscience.com%2Fwos%2Fwoscc%2Ffull-record%2FWOS:000185289400002","View Full Record in Web of Science")</f>
        <v>View Full Record in Web of Science</v>
      </c>
    </row>
    <row r="58" spans="1:72" x14ac:dyDescent="0.15">
      <c r="A58" t="s">
        <v>72</v>
      </c>
      <c r="B58" t="s">
        <v>995</v>
      </c>
      <c r="C58" t="s">
        <v>74</v>
      </c>
      <c r="D58" t="s">
        <v>74</v>
      </c>
      <c r="E58" t="s">
        <v>74</v>
      </c>
      <c r="F58" t="s">
        <v>995</v>
      </c>
      <c r="G58" t="s">
        <v>74</v>
      </c>
      <c r="H58" t="s">
        <v>74</v>
      </c>
      <c r="I58" t="s">
        <v>996</v>
      </c>
      <c r="J58" t="s">
        <v>997</v>
      </c>
      <c r="K58" t="s">
        <v>74</v>
      </c>
      <c r="L58" t="s">
        <v>74</v>
      </c>
      <c r="M58" t="s">
        <v>77</v>
      </c>
      <c r="N58" t="s">
        <v>78</v>
      </c>
      <c r="O58" t="s">
        <v>74</v>
      </c>
      <c r="P58" t="s">
        <v>74</v>
      </c>
      <c r="Q58" t="s">
        <v>74</v>
      </c>
      <c r="R58" t="s">
        <v>74</v>
      </c>
      <c r="S58" t="s">
        <v>74</v>
      </c>
      <c r="T58" t="s">
        <v>74</v>
      </c>
      <c r="U58" t="s">
        <v>998</v>
      </c>
      <c r="V58" t="s">
        <v>999</v>
      </c>
      <c r="W58" t="s">
        <v>1000</v>
      </c>
      <c r="X58" t="s">
        <v>74</v>
      </c>
      <c r="Y58" t="s">
        <v>1001</v>
      </c>
      <c r="Z58" t="s">
        <v>74</v>
      </c>
      <c r="AA58" t="s">
        <v>74</v>
      </c>
      <c r="AB58" t="s">
        <v>74</v>
      </c>
      <c r="AC58" t="s">
        <v>74</v>
      </c>
      <c r="AD58" t="s">
        <v>74</v>
      </c>
      <c r="AE58" t="s">
        <v>74</v>
      </c>
      <c r="AF58" t="s">
        <v>74</v>
      </c>
      <c r="AG58">
        <v>49</v>
      </c>
      <c r="AH58">
        <v>9</v>
      </c>
      <c r="AI58">
        <v>12</v>
      </c>
      <c r="AJ58">
        <v>0</v>
      </c>
      <c r="AK58">
        <v>4</v>
      </c>
      <c r="AL58" t="s">
        <v>1002</v>
      </c>
      <c r="AM58" t="s">
        <v>1003</v>
      </c>
      <c r="AN58" t="s">
        <v>1004</v>
      </c>
      <c r="AO58" t="s">
        <v>1005</v>
      </c>
      <c r="AP58" t="s">
        <v>74</v>
      </c>
      <c r="AQ58" t="s">
        <v>74</v>
      </c>
      <c r="AR58" t="s">
        <v>1006</v>
      </c>
      <c r="AS58" t="s">
        <v>1007</v>
      </c>
      <c r="AT58" t="s">
        <v>1008</v>
      </c>
      <c r="AU58">
        <v>2003</v>
      </c>
      <c r="AV58">
        <v>16</v>
      </c>
      <c r="AW58">
        <v>4</v>
      </c>
      <c r="AX58" t="s">
        <v>74</v>
      </c>
      <c r="AY58" t="s">
        <v>74</v>
      </c>
      <c r="AZ58" t="s">
        <v>74</v>
      </c>
      <c r="BA58" t="s">
        <v>74</v>
      </c>
      <c r="BB58">
        <v>473</v>
      </c>
      <c r="BC58">
        <v>485</v>
      </c>
      <c r="BD58" t="s">
        <v>74</v>
      </c>
      <c r="BE58" t="s">
        <v>1009</v>
      </c>
      <c r="BF58" t="str">
        <f>HYPERLINK("http://dx.doi.org/10.1071/SB02027","http://dx.doi.org/10.1071/SB02027")</f>
        <v>http://dx.doi.org/10.1071/SB02027</v>
      </c>
      <c r="BG58" t="s">
        <v>74</v>
      </c>
      <c r="BH58" t="s">
        <v>74</v>
      </c>
      <c r="BI58">
        <v>13</v>
      </c>
      <c r="BJ58" t="s">
        <v>1010</v>
      </c>
      <c r="BK58" t="s">
        <v>94</v>
      </c>
      <c r="BL58" t="s">
        <v>1010</v>
      </c>
      <c r="BM58" t="s">
        <v>1011</v>
      </c>
      <c r="BN58" t="s">
        <v>74</v>
      </c>
      <c r="BO58" t="s">
        <v>74</v>
      </c>
      <c r="BP58" t="s">
        <v>74</v>
      </c>
      <c r="BQ58" t="s">
        <v>74</v>
      </c>
      <c r="BR58" t="s">
        <v>97</v>
      </c>
      <c r="BS58" t="s">
        <v>1012</v>
      </c>
      <c r="BT58" t="str">
        <f>HYPERLINK("https%3A%2F%2Fwww.webofscience.com%2Fwos%2Fwoscc%2Ffull-record%2FWOS:000185266600002","View Full Record in Web of Science")</f>
        <v>View Full Record in Web of Science</v>
      </c>
    </row>
    <row r="59" spans="1:72" x14ac:dyDescent="0.15">
      <c r="A59" t="s">
        <v>72</v>
      </c>
      <c r="B59" t="s">
        <v>1013</v>
      </c>
      <c r="C59" t="s">
        <v>74</v>
      </c>
      <c r="D59" t="s">
        <v>74</v>
      </c>
      <c r="E59" t="s">
        <v>74</v>
      </c>
      <c r="F59" t="s">
        <v>1013</v>
      </c>
      <c r="G59" t="s">
        <v>74</v>
      </c>
      <c r="H59" t="s">
        <v>74</v>
      </c>
      <c r="I59" t="s">
        <v>1014</v>
      </c>
      <c r="J59" t="s">
        <v>1015</v>
      </c>
      <c r="K59" t="s">
        <v>74</v>
      </c>
      <c r="L59" t="s">
        <v>74</v>
      </c>
      <c r="M59" t="s">
        <v>77</v>
      </c>
      <c r="N59" t="s">
        <v>78</v>
      </c>
      <c r="O59" t="s">
        <v>74</v>
      </c>
      <c r="P59" t="s">
        <v>74</v>
      </c>
      <c r="Q59" t="s">
        <v>74</v>
      </c>
      <c r="R59" t="s">
        <v>74</v>
      </c>
      <c r="S59" t="s">
        <v>74</v>
      </c>
      <c r="T59" t="s">
        <v>1016</v>
      </c>
      <c r="U59" t="s">
        <v>1017</v>
      </c>
      <c r="V59" t="s">
        <v>1018</v>
      </c>
      <c r="W59" t="s">
        <v>1019</v>
      </c>
      <c r="X59" t="s">
        <v>1020</v>
      </c>
      <c r="Y59" t="s">
        <v>1021</v>
      </c>
      <c r="Z59" t="s">
        <v>1022</v>
      </c>
      <c r="AA59" t="s">
        <v>1023</v>
      </c>
      <c r="AB59" t="s">
        <v>1024</v>
      </c>
      <c r="AC59" t="s">
        <v>74</v>
      </c>
      <c r="AD59" t="s">
        <v>74</v>
      </c>
      <c r="AE59" t="s">
        <v>74</v>
      </c>
      <c r="AF59" t="s">
        <v>74</v>
      </c>
      <c r="AG59">
        <v>40</v>
      </c>
      <c r="AH59">
        <v>5</v>
      </c>
      <c r="AI59">
        <v>5</v>
      </c>
      <c r="AJ59">
        <v>0</v>
      </c>
      <c r="AK59">
        <v>3</v>
      </c>
      <c r="AL59" t="s">
        <v>781</v>
      </c>
      <c r="AM59" t="s">
        <v>111</v>
      </c>
      <c r="AN59" t="s">
        <v>782</v>
      </c>
      <c r="AO59" t="s">
        <v>1025</v>
      </c>
      <c r="AP59" t="s">
        <v>1026</v>
      </c>
      <c r="AQ59" t="s">
        <v>74</v>
      </c>
      <c r="AR59" t="s">
        <v>1015</v>
      </c>
      <c r="AS59" t="s">
        <v>1027</v>
      </c>
      <c r="AT59" t="s">
        <v>1008</v>
      </c>
      <c r="AU59">
        <v>2003</v>
      </c>
      <c r="AV59">
        <v>372</v>
      </c>
      <c r="AW59" t="s">
        <v>116</v>
      </c>
      <c r="AX59" t="s">
        <v>74</v>
      </c>
      <c r="AY59" t="s">
        <v>74</v>
      </c>
      <c r="AZ59" t="s">
        <v>74</v>
      </c>
      <c r="BA59" t="s">
        <v>74</v>
      </c>
      <c r="BB59">
        <v>179</v>
      </c>
      <c r="BC59">
        <v>191</v>
      </c>
      <c r="BD59" t="s">
        <v>74</v>
      </c>
      <c r="BE59" t="s">
        <v>1028</v>
      </c>
      <c r="BF59" t="str">
        <f>HYPERLINK("http://dx.doi.org/10.1016/S0040-1951(03)00310-X","http://dx.doi.org/10.1016/S0040-1951(03)00310-X")</f>
        <v>http://dx.doi.org/10.1016/S0040-1951(03)00310-X</v>
      </c>
      <c r="BG59" t="s">
        <v>74</v>
      </c>
      <c r="BH59" t="s">
        <v>74</v>
      </c>
      <c r="BI59">
        <v>13</v>
      </c>
      <c r="BJ59" t="s">
        <v>176</v>
      </c>
      <c r="BK59" t="s">
        <v>94</v>
      </c>
      <c r="BL59" t="s">
        <v>176</v>
      </c>
      <c r="BM59" t="s">
        <v>1029</v>
      </c>
      <c r="BN59" t="s">
        <v>74</v>
      </c>
      <c r="BO59" t="s">
        <v>74</v>
      </c>
      <c r="BP59" t="s">
        <v>74</v>
      </c>
      <c r="BQ59" t="s">
        <v>74</v>
      </c>
      <c r="BR59" t="s">
        <v>97</v>
      </c>
      <c r="BS59" t="s">
        <v>1030</v>
      </c>
      <c r="BT59" t="str">
        <f>HYPERLINK("https%3A%2F%2Fwww.webofscience.com%2Fwos%2Fwoscc%2Ffull-record%2FWOS:000186405600005","View Full Record in Web of Science")</f>
        <v>View Full Record in Web of Science</v>
      </c>
    </row>
    <row r="60" spans="1:72" x14ac:dyDescent="0.15">
      <c r="A60" t="s">
        <v>72</v>
      </c>
      <c r="B60" t="s">
        <v>1031</v>
      </c>
      <c r="C60" t="s">
        <v>74</v>
      </c>
      <c r="D60" t="s">
        <v>74</v>
      </c>
      <c r="E60" t="s">
        <v>74</v>
      </c>
      <c r="F60" t="s">
        <v>1031</v>
      </c>
      <c r="G60" t="s">
        <v>74</v>
      </c>
      <c r="H60" t="s">
        <v>74</v>
      </c>
      <c r="I60" t="s">
        <v>1032</v>
      </c>
      <c r="J60" t="s">
        <v>1033</v>
      </c>
      <c r="K60" t="s">
        <v>74</v>
      </c>
      <c r="L60" t="s">
        <v>74</v>
      </c>
      <c r="M60" t="s">
        <v>77</v>
      </c>
      <c r="N60" t="s">
        <v>78</v>
      </c>
      <c r="O60" t="s">
        <v>74</v>
      </c>
      <c r="P60" t="s">
        <v>74</v>
      </c>
      <c r="Q60" t="s">
        <v>74</v>
      </c>
      <c r="R60" t="s">
        <v>74</v>
      </c>
      <c r="S60" t="s">
        <v>74</v>
      </c>
      <c r="T60" t="s">
        <v>1034</v>
      </c>
      <c r="U60" t="s">
        <v>1035</v>
      </c>
      <c r="V60" t="s">
        <v>1036</v>
      </c>
      <c r="W60" t="s">
        <v>1037</v>
      </c>
      <c r="X60" t="s">
        <v>1038</v>
      </c>
      <c r="Y60" t="s">
        <v>1039</v>
      </c>
      <c r="Z60" t="s">
        <v>1040</v>
      </c>
      <c r="AA60" t="s">
        <v>1041</v>
      </c>
      <c r="AB60" t="s">
        <v>1042</v>
      </c>
      <c r="AC60" t="s">
        <v>74</v>
      </c>
      <c r="AD60" t="s">
        <v>74</v>
      </c>
      <c r="AE60" t="s">
        <v>74</v>
      </c>
      <c r="AF60" t="s">
        <v>74</v>
      </c>
      <c r="AG60">
        <v>50</v>
      </c>
      <c r="AH60">
        <v>19</v>
      </c>
      <c r="AI60">
        <v>20</v>
      </c>
      <c r="AJ60">
        <v>0</v>
      </c>
      <c r="AK60">
        <v>5</v>
      </c>
      <c r="AL60" t="s">
        <v>781</v>
      </c>
      <c r="AM60" t="s">
        <v>111</v>
      </c>
      <c r="AN60" t="s">
        <v>782</v>
      </c>
      <c r="AO60" t="s">
        <v>1043</v>
      </c>
      <c r="AP60" t="s">
        <v>1044</v>
      </c>
      <c r="AQ60" t="s">
        <v>74</v>
      </c>
      <c r="AR60" t="s">
        <v>1045</v>
      </c>
      <c r="AS60" t="s">
        <v>1046</v>
      </c>
      <c r="AT60" t="s">
        <v>1047</v>
      </c>
      <c r="AU60">
        <v>2003</v>
      </c>
      <c r="AV60">
        <v>214</v>
      </c>
      <c r="AW60" t="s">
        <v>787</v>
      </c>
      <c r="AX60" t="s">
        <v>74</v>
      </c>
      <c r="AY60" t="s">
        <v>74</v>
      </c>
      <c r="AZ60" t="s">
        <v>74</v>
      </c>
      <c r="BA60" t="s">
        <v>74</v>
      </c>
      <c r="BB60">
        <v>369</v>
      </c>
      <c r="BC60">
        <v>378</v>
      </c>
      <c r="BD60" t="s">
        <v>74</v>
      </c>
      <c r="BE60" t="s">
        <v>1048</v>
      </c>
      <c r="BF60" t="str">
        <f>HYPERLINK("http://dx.doi.org/10.1016/S0012-821X(03)00364-9","http://dx.doi.org/10.1016/S0012-821X(03)00364-9")</f>
        <v>http://dx.doi.org/10.1016/S0012-821X(03)00364-9</v>
      </c>
      <c r="BG60" t="s">
        <v>74</v>
      </c>
      <c r="BH60" t="s">
        <v>74</v>
      </c>
      <c r="BI60">
        <v>10</v>
      </c>
      <c r="BJ60" t="s">
        <v>176</v>
      </c>
      <c r="BK60" t="s">
        <v>94</v>
      </c>
      <c r="BL60" t="s">
        <v>176</v>
      </c>
      <c r="BM60" t="s">
        <v>1049</v>
      </c>
      <c r="BN60" t="s">
        <v>74</v>
      </c>
      <c r="BO60" t="s">
        <v>74</v>
      </c>
      <c r="BP60" t="s">
        <v>74</v>
      </c>
      <c r="BQ60" t="s">
        <v>74</v>
      </c>
      <c r="BR60" t="s">
        <v>97</v>
      </c>
      <c r="BS60" t="s">
        <v>1050</v>
      </c>
      <c r="BT60" t="str">
        <f>HYPERLINK("https%3A%2F%2Fwww.webofscience.com%2Fwos%2Fwoscc%2Ffull-record%2FWOS:000185325400026","View Full Record in Web of Science")</f>
        <v>View Full Record in Web of Science</v>
      </c>
    </row>
    <row r="61" spans="1:72" x14ac:dyDescent="0.15">
      <c r="A61" t="s">
        <v>72</v>
      </c>
      <c r="B61" t="s">
        <v>1051</v>
      </c>
      <c r="C61" t="s">
        <v>74</v>
      </c>
      <c r="D61" t="s">
        <v>74</v>
      </c>
      <c r="E61" t="s">
        <v>74</v>
      </c>
      <c r="F61" t="s">
        <v>1051</v>
      </c>
      <c r="G61" t="s">
        <v>74</v>
      </c>
      <c r="H61" t="s">
        <v>74</v>
      </c>
      <c r="I61" t="s">
        <v>1052</v>
      </c>
      <c r="J61" t="s">
        <v>530</v>
      </c>
      <c r="K61" t="s">
        <v>74</v>
      </c>
      <c r="L61" t="s">
        <v>74</v>
      </c>
      <c r="M61" t="s">
        <v>77</v>
      </c>
      <c r="N61" t="s">
        <v>78</v>
      </c>
      <c r="O61" t="s">
        <v>74</v>
      </c>
      <c r="P61" t="s">
        <v>74</v>
      </c>
      <c r="Q61" t="s">
        <v>74</v>
      </c>
      <c r="R61" t="s">
        <v>74</v>
      </c>
      <c r="S61" t="s">
        <v>74</v>
      </c>
      <c r="T61" t="s">
        <v>74</v>
      </c>
      <c r="U61" t="s">
        <v>1053</v>
      </c>
      <c r="V61" t="s">
        <v>1054</v>
      </c>
      <c r="W61" t="s">
        <v>1055</v>
      </c>
      <c r="X61" t="s">
        <v>1056</v>
      </c>
      <c r="Y61" t="s">
        <v>1057</v>
      </c>
      <c r="Z61" t="s">
        <v>1058</v>
      </c>
      <c r="AA61" t="s">
        <v>1059</v>
      </c>
      <c r="AB61" t="s">
        <v>1060</v>
      </c>
      <c r="AC61" t="s">
        <v>74</v>
      </c>
      <c r="AD61" t="s">
        <v>74</v>
      </c>
      <c r="AE61" t="s">
        <v>74</v>
      </c>
      <c r="AF61" t="s">
        <v>74</v>
      </c>
      <c r="AG61">
        <v>33</v>
      </c>
      <c r="AH61">
        <v>11</v>
      </c>
      <c r="AI61">
        <v>13</v>
      </c>
      <c r="AJ61">
        <v>0</v>
      </c>
      <c r="AK61">
        <v>9</v>
      </c>
      <c r="AL61" t="s">
        <v>539</v>
      </c>
      <c r="AM61" t="s">
        <v>540</v>
      </c>
      <c r="AN61" t="s">
        <v>541</v>
      </c>
      <c r="AO61" t="s">
        <v>542</v>
      </c>
      <c r="AP61" t="s">
        <v>74</v>
      </c>
      <c r="AQ61" t="s">
        <v>74</v>
      </c>
      <c r="AR61" t="s">
        <v>544</v>
      </c>
      <c r="AS61" t="s">
        <v>545</v>
      </c>
      <c r="AT61" t="s">
        <v>1061</v>
      </c>
      <c r="AU61">
        <v>2003</v>
      </c>
      <c r="AV61">
        <v>30</v>
      </c>
      <c r="AW61">
        <v>17</v>
      </c>
      <c r="AX61" t="s">
        <v>74</v>
      </c>
      <c r="AY61" t="s">
        <v>74</v>
      </c>
      <c r="AZ61" t="s">
        <v>74</v>
      </c>
      <c r="BA61" t="s">
        <v>74</v>
      </c>
      <c r="BB61" t="s">
        <v>74</v>
      </c>
      <c r="BC61" t="s">
        <v>74</v>
      </c>
      <c r="BD61">
        <v>1899</v>
      </c>
      <c r="BE61" t="s">
        <v>1062</v>
      </c>
      <c r="BF61" t="str">
        <f>HYPERLINK("http://dx.doi.org/10.1029/2003GL017838","http://dx.doi.org/10.1029/2003GL017838")</f>
        <v>http://dx.doi.org/10.1029/2003GL017838</v>
      </c>
      <c r="BG61" t="s">
        <v>74</v>
      </c>
      <c r="BH61" t="s">
        <v>74</v>
      </c>
      <c r="BI61">
        <v>4</v>
      </c>
      <c r="BJ61" t="s">
        <v>548</v>
      </c>
      <c r="BK61" t="s">
        <v>94</v>
      </c>
      <c r="BL61" t="s">
        <v>549</v>
      </c>
      <c r="BM61" t="s">
        <v>1063</v>
      </c>
      <c r="BN61" t="s">
        <v>74</v>
      </c>
      <c r="BO61" t="s">
        <v>628</v>
      </c>
      <c r="BP61" t="s">
        <v>74</v>
      </c>
      <c r="BQ61" t="s">
        <v>74</v>
      </c>
      <c r="BR61" t="s">
        <v>97</v>
      </c>
      <c r="BS61" t="s">
        <v>1064</v>
      </c>
      <c r="BT61" t="str">
        <f>HYPERLINK("https%3A%2F%2Fwww.webofscience.com%2Fwos%2Fwoscc%2Ffull-record%2FWOS:000189016000004","View Full Record in Web of Science")</f>
        <v>View Full Record in Web of Science</v>
      </c>
    </row>
    <row r="62" spans="1:72" x14ac:dyDescent="0.15">
      <c r="A62" t="s">
        <v>72</v>
      </c>
      <c r="B62" t="s">
        <v>1065</v>
      </c>
      <c r="C62" t="s">
        <v>74</v>
      </c>
      <c r="D62" t="s">
        <v>74</v>
      </c>
      <c r="E62" t="s">
        <v>74</v>
      </c>
      <c r="F62" t="s">
        <v>1065</v>
      </c>
      <c r="G62" t="s">
        <v>74</v>
      </c>
      <c r="H62" t="s">
        <v>74</v>
      </c>
      <c r="I62" t="s">
        <v>1066</v>
      </c>
      <c r="J62" t="s">
        <v>578</v>
      </c>
      <c r="K62" t="s">
        <v>74</v>
      </c>
      <c r="L62" t="s">
        <v>74</v>
      </c>
      <c r="M62" t="s">
        <v>77</v>
      </c>
      <c r="N62" t="s">
        <v>78</v>
      </c>
      <c r="O62" t="s">
        <v>74</v>
      </c>
      <c r="P62" t="s">
        <v>74</v>
      </c>
      <c r="Q62" t="s">
        <v>74</v>
      </c>
      <c r="R62" t="s">
        <v>74</v>
      </c>
      <c r="S62" t="s">
        <v>74</v>
      </c>
      <c r="T62" t="s">
        <v>1067</v>
      </c>
      <c r="U62" t="s">
        <v>1068</v>
      </c>
      <c r="V62" t="s">
        <v>1069</v>
      </c>
      <c r="W62" t="s">
        <v>1070</v>
      </c>
      <c r="X62" t="s">
        <v>1071</v>
      </c>
      <c r="Y62" t="s">
        <v>1072</v>
      </c>
      <c r="Z62" t="s">
        <v>1073</v>
      </c>
      <c r="AA62" t="s">
        <v>74</v>
      </c>
      <c r="AB62" t="s">
        <v>74</v>
      </c>
      <c r="AC62" t="s">
        <v>74</v>
      </c>
      <c r="AD62" t="s">
        <v>74</v>
      </c>
      <c r="AE62" t="s">
        <v>74</v>
      </c>
      <c r="AF62" t="s">
        <v>74</v>
      </c>
      <c r="AG62">
        <v>30</v>
      </c>
      <c r="AH62">
        <v>11</v>
      </c>
      <c r="AI62">
        <v>11</v>
      </c>
      <c r="AJ62">
        <v>1</v>
      </c>
      <c r="AK62">
        <v>4</v>
      </c>
      <c r="AL62" t="s">
        <v>539</v>
      </c>
      <c r="AM62" t="s">
        <v>540</v>
      </c>
      <c r="AN62" t="s">
        <v>541</v>
      </c>
      <c r="AO62" t="s">
        <v>588</v>
      </c>
      <c r="AP62" t="s">
        <v>74</v>
      </c>
      <c r="AQ62" t="s">
        <v>74</v>
      </c>
      <c r="AR62" t="s">
        <v>589</v>
      </c>
      <c r="AS62" t="s">
        <v>590</v>
      </c>
      <c r="AT62" t="s">
        <v>1061</v>
      </c>
      <c r="AU62">
        <v>2003</v>
      </c>
      <c r="AV62">
        <v>108</v>
      </c>
      <c r="AW62" t="s">
        <v>1074</v>
      </c>
      <c r="AX62" t="s">
        <v>74</v>
      </c>
      <c r="AY62" t="s">
        <v>74</v>
      </c>
      <c r="AZ62" t="s">
        <v>74</v>
      </c>
      <c r="BA62" t="s">
        <v>74</v>
      </c>
      <c r="BB62" t="s">
        <v>74</v>
      </c>
      <c r="BC62" t="s">
        <v>74</v>
      </c>
      <c r="BD62">
        <v>4545</v>
      </c>
      <c r="BE62" t="s">
        <v>1075</v>
      </c>
      <c r="BF62" t="str">
        <f>HYPERLINK("http://dx.doi.org/10.1029/2003JD001435","http://dx.doi.org/10.1029/2003JD001435")</f>
        <v>http://dx.doi.org/10.1029/2003JD001435</v>
      </c>
      <c r="BG62" t="s">
        <v>74</v>
      </c>
      <c r="BH62" t="s">
        <v>74</v>
      </c>
      <c r="BI62">
        <v>9</v>
      </c>
      <c r="BJ62" t="s">
        <v>93</v>
      </c>
      <c r="BK62" t="s">
        <v>94</v>
      </c>
      <c r="BL62" t="s">
        <v>93</v>
      </c>
      <c r="BM62" t="s">
        <v>1076</v>
      </c>
      <c r="BN62" t="s">
        <v>74</v>
      </c>
      <c r="BO62" t="s">
        <v>96</v>
      </c>
      <c r="BP62" t="s">
        <v>74</v>
      </c>
      <c r="BQ62" t="s">
        <v>74</v>
      </c>
      <c r="BR62" t="s">
        <v>97</v>
      </c>
      <c r="BS62" t="s">
        <v>1077</v>
      </c>
      <c r="BT62" t="str">
        <f>HYPERLINK("https%3A%2F%2Fwww.webofscience.com%2Fwos%2Fwoscc%2Ffull-record%2FWOS:000189016600003","View Full Record in Web of Science")</f>
        <v>View Full Record in Web of Science</v>
      </c>
    </row>
    <row r="63" spans="1:72" x14ac:dyDescent="0.15">
      <c r="A63" t="s">
        <v>72</v>
      </c>
      <c r="B63" t="s">
        <v>1078</v>
      </c>
      <c r="C63" t="s">
        <v>74</v>
      </c>
      <c r="D63" t="s">
        <v>74</v>
      </c>
      <c r="E63" t="s">
        <v>74</v>
      </c>
      <c r="F63" t="s">
        <v>1078</v>
      </c>
      <c r="G63" t="s">
        <v>74</v>
      </c>
      <c r="H63" t="s">
        <v>74</v>
      </c>
      <c r="I63" t="s">
        <v>1079</v>
      </c>
      <c r="J63" t="s">
        <v>613</v>
      </c>
      <c r="K63" t="s">
        <v>74</v>
      </c>
      <c r="L63" t="s">
        <v>74</v>
      </c>
      <c r="M63" t="s">
        <v>77</v>
      </c>
      <c r="N63" t="s">
        <v>78</v>
      </c>
      <c r="O63" t="s">
        <v>74</v>
      </c>
      <c r="P63" t="s">
        <v>74</v>
      </c>
      <c r="Q63" t="s">
        <v>74</v>
      </c>
      <c r="R63" t="s">
        <v>74</v>
      </c>
      <c r="S63" t="s">
        <v>74</v>
      </c>
      <c r="T63" t="s">
        <v>1080</v>
      </c>
      <c r="U63" t="s">
        <v>1081</v>
      </c>
      <c r="V63" t="s">
        <v>1082</v>
      </c>
      <c r="W63" t="s">
        <v>1083</v>
      </c>
      <c r="X63" t="s">
        <v>1084</v>
      </c>
      <c r="Y63" t="s">
        <v>1085</v>
      </c>
      <c r="Z63" t="s">
        <v>1086</v>
      </c>
      <c r="AA63" t="s">
        <v>1087</v>
      </c>
      <c r="AB63" t="s">
        <v>1088</v>
      </c>
      <c r="AC63" t="s">
        <v>74</v>
      </c>
      <c r="AD63" t="s">
        <v>74</v>
      </c>
      <c r="AE63" t="s">
        <v>74</v>
      </c>
      <c r="AF63" t="s">
        <v>74</v>
      </c>
      <c r="AG63">
        <v>75</v>
      </c>
      <c r="AH63">
        <v>24</v>
      </c>
      <c r="AI63">
        <v>27</v>
      </c>
      <c r="AJ63">
        <v>0</v>
      </c>
      <c r="AK63">
        <v>15</v>
      </c>
      <c r="AL63" t="s">
        <v>539</v>
      </c>
      <c r="AM63" t="s">
        <v>540</v>
      </c>
      <c r="AN63" t="s">
        <v>541</v>
      </c>
      <c r="AO63" t="s">
        <v>621</v>
      </c>
      <c r="AP63" t="s">
        <v>622</v>
      </c>
      <c r="AQ63" t="s">
        <v>74</v>
      </c>
      <c r="AR63" t="s">
        <v>613</v>
      </c>
      <c r="AS63" t="s">
        <v>623</v>
      </c>
      <c r="AT63" t="s">
        <v>1089</v>
      </c>
      <c r="AU63">
        <v>2003</v>
      </c>
      <c r="AV63">
        <v>18</v>
      </c>
      <c r="AW63">
        <v>3</v>
      </c>
      <c r="AX63" t="s">
        <v>74</v>
      </c>
      <c r="AY63" t="s">
        <v>74</v>
      </c>
      <c r="AZ63" t="s">
        <v>74</v>
      </c>
      <c r="BA63" t="s">
        <v>74</v>
      </c>
      <c r="BB63" t="s">
        <v>74</v>
      </c>
      <c r="BC63" t="s">
        <v>74</v>
      </c>
      <c r="BD63">
        <v>1072</v>
      </c>
      <c r="BE63" t="s">
        <v>1090</v>
      </c>
      <c r="BF63" t="str">
        <f>HYPERLINK("http://dx.doi.org/10.1029/2002PA000818","http://dx.doi.org/10.1029/2002PA000818")</f>
        <v>http://dx.doi.org/10.1029/2002PA000818</v>
      </c>
      <c r="BG63" t="s">
        <v>74</v>
      </c>
      <c r="BH63" t="s">
        <v>74</v>
      </c>
      <c r="BI63">
        <v>18</v>
      </c>
      <c r="BJ63" t="s">
        <v>625</v>
      </c>
      <c r="BK63" t="s">
        <v>94</v>
      </c>
      <c r="BL63" t="s">
        <v>626</v>
      </c>
      <c r="BM63" t="s">
        <v>1091</v>
      </c>
      <c r="BN63" t="s">
        <v>74</v>
      </c>
      <c r="BO63" t="s">
        <v>96</v>
      </c>
      <c r="BP63" t="s">
        <v>74</v>
      </c>
      <c r="BQ63" t="s">
        <v>74</v>
      </c>
      <c r="BR63" t="s">
        <v>97</v>
      </c>
      <c r="BS63" t="s">
        <v>1092</v>
      </c>
      <c r="BT63" t="str">
        <f>HYPERLINK("https%3A%2F%2Fwww.webofscience.com%2Fwos%2Fwoscc%2Ffull-record%2FWOS:000185365200001","View Full Record in Web of Science")</f>
        <v>View Full Record in Web of Science</v>
      </c>
    </row>
    <row r="64" spans="1:72" x14ac:dyDescent="0.15">
      <c r="A64" t="s">
        <v>72</v>
      </c>
      <c r="B64" t="s">
        <v>1093</v>
      </c>
      <c r="C64" t="s">
        <v>74</v>
      </c>
      <c r="D64" t="s">
        <v>74</v>
      </c>
      <c r="E64" t="s">
        <v>74</v>
      </c>
      <c r="F64" t="s">
        <v>1093</v>
      </c>
      <c r="G64" t="s">
        <v>74</v>
      </c>
      <c r="H64" t="s">
        <v>74</v>
      </c>
      <c r="I64" t="s">
        <v>1094</v>
      </c>
      <c r="J64" t="s">
        <v>665</v>
      </c>
      <c r="K64" t="s">
        <v>74</v>
      </c>
      <c r="L64" t="s">
        <v>74</v>
      </c>
      <c r="M64" t="s">
        <v>77</v>
      </c>
      <c r="N64" t="s">
        <v>78</v>
      </c>
      <c r="O64" t="s">
        <v>74</v>
      </c>
      <c r="P64" t="s">
        <v>74</v>
      </c>
      <c r="Q64" t="s">
        <v>74</v>
      </c>
      <c r="R64" t="s">
        <v>74</v>
      </c>
      <c r="S64" t="s">
        <v>74</v>
      </c>
      <c r="T64" t="s">
        <v>1095</v>
      </c>
      <c r="U64" t="s">
        <v>1096</v>
      </c>
      <c r="V64" t="s">
        <v>1097</v>
      </c>
      <c r="W64" t="s">
        <v>1098</v>
      </c>
      <c r="X64" t="s">
        <v>1099</v>
      </c>
      <c r="Y64" t="s">
        <v>1100</v>
      </c>
      <c r="Z64" t="s">
        <v>1101</v>
      </c>
      <c r="AA64" t="s">
        <v>1102</v>
      </c>
      <c r="AB64" t="s">
        <v>1103</v>
      </c>
      <c r="AC64" t="s">
        <v>74</v>
      </c>
      <c r="AD64" t="s">
        <v>74</v>
      </c>
      <c r="AE64" t="s">
        <v>74</v>
      </c>
      <c r="AF64" t="s">
        <v>74</v>
      </c>
      <c r="AG64">
        <v>27</v>
      </c>
      <c r="AH64">
        <v>16</v>
      </c>
      <c r="AI64">
        <v>17</v>
      </c>
      <c r="AJ64">
        <v>1</v>
      </c>
      <c r="AK64">
        <v>7</v>
      </c>
      <c r="AL64" t="s">
        <v>539</v>
      </c>
      <c r="AM64" t="s">
        <v>540</v>
      </c>
      <c r="AN64" t="s">
        <v>541</v>
      </c>
      <c r="AO64" t="s">
        <v>672</v>
      </c>
      <c r="AP64" t="s">
        <v>673</v>
      </c>
      <c r="AQ64" t="s">
        <v>74</v>
      </c>
      <c r="AR64" t="s">
        <v>674</v>
      </c>
      <c r="AS64" t="s">
        <v>675</v>
      </c>
      <c r="AT64" t="s">
        <v>1104</v>
      </c>
      <c r="AU64">
        <v>2003</v>
      </c>
      <c r="AV64">
        <v>108</v>
      </c>
      <c r="AW64" t="s">
        <v>676</v>
      </c>
      <c r="AX64" t="s">
        <v>74</v>
      </c>
      <c r="AY64" t="s">
        <v>74</v>
      </c>
      <c r="AZ64" t="s">
        <v>74</v>
      </c>
      <c r="BA64" t="s">
        <v>74</v>
      </c>
      <c r="BB64" t="s">
        <v>74</v>
      </c>
      <c r="BC64" t="s">
        <v>74</v>
      </c>
      <c r="BD64">
        <v>3285</v>
      </c>
      <c r="BE64" t="s">
        <v>1105</v>
      </c>
      <c r="BF64" t="str">
        <f>HYPERLINK("http://dx.doi.org/10.1029/2002JC001494","http://dx.doi.org/10.1029/2002JC001494")</f>
        <v>http://dx.doi.org/10.1029/2002JC001494</v>
      </c>
      <c r="BG64" t="s">
        <v>74</v>
      </c>
      <c r="BH64" t="s">
        <v>74</v>
      </c>
      <c r="BI64">
        <v>11</v>
      </c>
      <c r="BJ64" t="s">
        <v>678</v>
      </c>
      <c r="BK64" t="s">
        <v>94</v>
      </c>
      <c r="BL64" t="s">
        <v>678</v>
      </c>
      <c r="BM64" t="s">
        <v>1106</v>
      </c>
      <c r="BN64" t="s">
        <v>74</v>
      </c>
      <c r="BO64" t="s">
        <v>628</v>
      </c>
      <c r="BP64" t="s">
        <v>74</v>
      </c>
      <c r="BQ64" t="s">
        <v>74</v>
      </c>
      <c r="BR64" t="s">
        <v>97</v>
      </c>
      <c r="BS64" t="s">
        <v>1107</v>
      </c>
      <c r="BT64" t="str">
        <f>HYPERLINK("https%3A%2F%2Fwww.webofscience.com%2Fwos%2Fwoscc%2Ffull-record%2FWOS:000185362900001","View Full Record in Web of Science")</f>
        <v>View Full Record in Web of Science</v>
      </c>
    </row>
    <row r="65" spans="1:72" x14ac:dyDescent="0.15">
      <c r="A65" t="s">
        <v>72</v>
      </c>
      <c r="B65" t="s">
        <v>1108</v>
      </c>
      <c r="C65" t="s">
        <v>74</v>
      </c>
      <c r="D65" t="s">
        <v>74</v>
      </c>
      <c r="E65" t="s">
        <v>74</v>
      </c>
      <c r="F65" t="s">
        <v>1108</v>
      </c>
      <c r="G65" t="s">
        <v>74</v>
      </c>
      <c r="H65" t="s">
        <v>74</v>
      </c>
      <c r="I65" t="s">
        <v>1109</v>
      </c>
      <c r="J65" t="s">
        <v>1110</v>
      </c>
      <c r="K65" t="s">
        <v>74</v>
      </c>
      <c r="L65" t="s">
        <v>74</v>
      </c>
      <c r="M65" t="s">
        <v>77</v>
      </c>
      <c r="N65" t="s">
        <v>78</v>
      </c>
      <c r="O65" t="s">
        <v>74</v>
      </c>
      <c r="P65" t="s">
        <v>74</v>
      </c>
      <c r="Q65" t="s">
        <v>74</v>
      </c>
      <c r="R65" t="s">
        <v>74</v>
      </c>
      <c r="S65" t="s">
        <v>74</v>
      </c>
      <c r="T65" t="s">
        <v>74</v>
      </c>
      <c r="U65" t="s">
        <v>1111</v>
      </c>
      <c r="V65" t="s">
        <v>1112</v>
      </c>
      <c r="W65" t="s">
        <v>1113</v>
      </c>
      <c r="X65" t="s">
        <v>351</v>
      </c>
      <c r="Y65" t="s">
        <v>1114</v>
      </c>
      <c r="Z65" t="s">
        <v>74</v>
      </c>
      <c r="AA65" t="s">
        <v>74</v>
      </c>
      <c r="AB65" t="s">
        <v>74</v>
      </c>
      <c r="AC65" t="s">
        <v>74</v>
      </c>
      <c r="AD65" t="s">
        <v>74</v>
      </c>
      <c r="AE65" t="s">
        <v>74</v>
      </c>
      <c r="AF65" t="s">
        <v>74</v>
      </c>
      <c r="AG65">
        <v>51</v>
      </c>
      <c r="AH65">
        <v>316</v>
      </c>
      <c r="AI65">
        <v>355</v>
      </c>
      <c r="AJ65">
        <v>3</v>
      </c>
      <c r="AK65">
        <v>202</v>
      </c>
      <c r="AL65" t="s">
        <v>1115</v>
      </c>
      <c r="AM65" t="s">
        <v>1116</v>
      </c>
      <c r="AN65" t="s">
        <v>1117</v>
      </c>
      <c r="AO65" t="s">
        <v>1118</v>
      </c>
      <c r="AP65" t="s">
        <v>74</v>
      </c>
      <c r="AQ65" t="s">
        <v>74</v>
      </c>
      <c r="AR65" t="s">
        <v>1110</v>
      </c>
      <c r="AS65" t="s">
        <v>1119</v>
      </c>
      <c r="AT65" t="s">
        <v>1120</v>
      </c>
      <c r="AU65">
        <v>2003</v>
      </c>
      <c r="AV65">
        <v>32</v>
      </c>
      <c r="AW65">
        <v>6</v>
      </c>
      <c r="AX65" t="s">
        <v>74</v>
      </c>
      <c r="AY65" t="s">
        <v>74</v>
      </c>
      <c r="AZ65" t="s">
        <v>74</v>
      </c>
      <c r="BA65" t="s">
        <v>74</v>
      </c>
      <c r="BB65">
        <v>380</v>
      </c>
      <c r="BC65">
        <v>384</v>
      </c>
      <c r="BD65" t="s">
        <v>74</v>
      </c>
      <c r="BE65" t="s">
        <v>1121</v>
      </c>
      <c r="BF65" t="str">
        <f>HYPERLINK("http://dx.doi.org/10.1639/0044-7447(2003)032[0380:OABAOS]2.0.CO;2","http://dx.doi.org/10.1639/0044-7447(2003)032[0380:OABAOS]2.0.CO;2")</f>
        <v>http://dx.doi.org/10.1639/0044-7447(2003)032[0380:OABAOS]2.0.CO;2</v>
      </c>
      <c r="BG65" t="s">
        <v>74</v>
      </c>
      <c r="BH65" t="s">
        <v>74</v>
      </c>
      <c r="BI65">
        <v>5</v>
      </c>
      <c r="BJ65" t="s">
        <v>1122</v>
      </c>
      <c r="BK65" t="s">
        <v>94</v>
      </c>
      <c r="BL65" t="s">
        <v>1123</v>
      </c>
      <c r="BM65" t="s">
        <v>1124</v>
      </c>
      <c r="BN65">
        <v>14627365</v>
      </c>
      <c r="BO65" t="s">
        <v>74</v>
      </c>
      <c r="BP65" t="s">
        <v>74</v>
      </c>
      <c r="BQ65" t="s">
        <v>74</v>
      </c>
      <c r="BR65" t="s">
        <v>97</v>
      </c>
      <c r="BS65" t="s">
        <v>1125</v>
      </c>
      <c r="BT65" t="str">
        <f>HYPERLINK("https%3A%2F%2Fwww.webofscience.com%2Fwos%2Fwoscc%2Ffull-record%2FWOS:000186207900002","View Full Record in Web of Science")</f>
        <v>View Full Record in Web of Science</v>
      </c>
    </row>
    <row r="66" spans="1:72" x14ac:dyDescent="0.15">
      <c r="A66" t="s">
        <v>72</v>
      </c>
      <c r="B66" t="s">
        <v>1126</v>
      </c>
      <c r="C66" t="s">
        <v>74</v>
      </c>
      <c r="D66" t="s">
        <v>74</v>
      </c>
      <c r="E66" t="s">
        <v>74</v>
      </c>
      <c r="F66" t="s">
        <v>1126</v>
      </c>
      <c r="G66" t="s">
        <v>74</v>
      </c>
      <c r="H66" t="s">
        <v>74</v>
      </c>
      <c r="I66" t="s">
        <v>1127</v>
      </c>
      <c r="J66" t="s">
        <v>1128</v>
      </c>
      <c r="K66" t="s">
        <v>74</v>
      </c>
      <c r="L66" t="s">
        <v>74</v>
      </c>
      <c r="M66" t="s">
        <v>77</v>
      </c>
      <c r="N66" t="s">
        <v>773</v>
      </c>
      <c r="O66" t="s">
        <v>74</v>
      </c>
      <c r="P66" t="s">
        <v>74</v>
      </c>
      <c r="Q66" t="s">
        <v>74</v>
      </c>
      <c r="R66" t="s">
        <v>74</v>
      </c>
      <c r="S66" t="s">
        <v>74</v>
      </c>
      <c r="T66" t="s">
        <v>74</v>
      </c>
      <c r="U66" t="s">
        <v>74</v>
      </c>
      <c r="V66" t="s">
        <v>74</v>
      </c>
      <c r="W66" t="s">
        <v>74</v>
      </c>
      <c r="X66" t="s">
        <v>74</v>
      </c>
      <c r="Y66" t="s">
        <v>74</v>
      </c>
      <c r="Z66" t="s">
        <v>74</v>
      </c>
      <c r="AA66" t="s">
        <v>74</v>
      </c>
      <c r="AB66" t="s">
        <v>74</v>
      </c>
      <c r="AC66" t="s">
        <v>74</v>
      </c>
      <c r="AD66" t="s">
        <v>74</v>
      </c>
      <c r="AE66" t="s">
        <v>74</v>
      </c>
      <c r="AF66" t="s">
        <v>74</v>
      </c>
      <c r="AG66">
        <v>0</v>
      </c>
      <c r="AH66">
        <v>4</v>
      </c>
      <c r="AI66">
        <v>5</v>
      </c>
      <c r="AJ66">
        <v>0</v>
      </c>
      <c r="AK66">
        <v>7</v>
      </c>
      <c r="AL66" t="s">
        <v>228</v>
      </c>
      <c r="AM66" t="s">
        <v>229</v>
      </c>
      <c r="AN66" t="s">
        <v>1129</v>
      </c>
      <c r="AO66" t="s">
        <v>1130</v>
      </c>
      <c r="AP66" t="s">
        <v>74</v>
      </c>
      <c r="AQ66" t="s">
        <v>74</v>
      </c>
      <c r="AR66" t="s">
        <v>1131</v>
      </c>
      <c r="AS66" t="s">
        <v>1132</v>
      </c>
      <c r="AT66" t="s">
        <v>1120</v>
      </c>
      <c r="AU66">
        <v>2003</v>
      </c>
      <c r="AV66">
        <v>15</v>
      </c>
      <c r="AW66">
        <v>3</v>
      </c>
      <c r="AX66" t="s">
        <v>74</v>
      </c>
      <c r="AY66" t="s">
        <v>74</v>
      </c>
      <c r="AZ66" t="s">
        <v>74</v>
      </c>
      <c r="BA66" t="s">
        <v>74</v>
      </c>
      <c r="BB66">
        <v>317</v>
      </c>
      <c r="BC66">
        <v>317</v>
      </c>
      <c r="BD66" t="s">
        <v>74</v>
      </c>
      <c r="BE66" t="s">
        <v>1133</v>
      </c>
      <c r="BF66" t="str">
        <f>HYPERLINK("http://dx.doi.org/10.1017/S0954102003001433","http://dx.doi.org/10.1017/S0954102003001433")</f>
        <v>http://dx.doi.org/10.1017/S0954102003001433</v>
      </c>
      <c r="BG66" t="s">
        <v>74</v>
      </c>
      <c r="BH66" t="s">
        <v>74</v>
      </c>
      <c r="BI66">
        <v>1</v>
      </c>
      <c r="BJ66" t="s">
        <v>1134</v>
      </c>
      <c r="BK66" t="s">
        <v>94</v>
      </c>
      <c r="BL66" t="s">
        <v>1135</v>
      </c>
      <c r="BM66" t="s">
        <v>1136</v>
      </c>
      <c r="BN66" t="s">
        <v>74</v>
      </c>
      <c r="BO66" t="s">
        <v>96</v>
      </c>
      <c r="BP66" t="s">
        <v>74</v>
      </c>
      <c r="BQ66" t="s">
        <v>74</v>
      </c>
      <c r="BR66" t="s">
        <v>97</v>
      </c>
      <c r="BS66" t="s">
        <v>1137</v>
      </c>
      <c r="BT66" t="str">
        <f>HYPERLINK("https%3A%2F%2Fwww.webofscience.com%2Fwos%2Fwoscc%2Ffull-record%2FWOS:000185543900001","View Full Record in Web of Science")</f>
        <v>View Full Record in Web of Science</v>
      </c>
    </row>
    <row r="67" spans="1:72" x14ac:dyDescent="0.15">
      <c r="A67" t="s">
        <v>72</v>
      </c>
      <c r="B67" t="s">
        <v>1138</v>
      </c>
      <c r="C67" t="s">
        <v>74</v>
      </c>
      <c r="D67" t="s">
        <v>74</v>
      </c>
      <c r="E67" t="s">
        <v>74</v>
      </c>
      <c r="F67" t="s">
        <v>1138</v>
      </c>
      <c r="G67" t="s">
        <v>74</v>
      </c>
      <c r="H67" t="s">
        <v>74</v>
      </c>
      <c r="I67" t="s">
        <v>1139</v>
      </c>
      <c r="J67" t="s">
        <v>1128</v>
      </c>
      <c r="K67" t="s">
        <v>74</v>
      </c>
      <c r="L67" t="s">
        <v>74</v>
      </c>
      <c r="M67" t="s">
        <v>77</v>
      </c>
      <c r="N67" t="s">
        <v>556</v>
      </c>
      <c r="O67" t="s">
        <v>74</v>
      </c>
      <c r="P67" t="s">
        <v>74</v>
      </c>
      <c r="Q67" t="s">
        <v>74</v>
      </c>
      <c r="R67" t="s">
        <v>74</v>
      </c>
      <c r="S67" t="s">
        <v>74</v>
      </c>
      <c r="T67" t="s">
        <v>1140</v>
      </c>
      <c r="U67" t="s">
        <v>1141</v>
      </c>
      <c r="V67" t="s">
        <v>1142</v>
      </c>
      <c r="W67" t="s">
        <v>1143</v>
      </c>
      <c r="X67" t="s">
        <v>1144</v>
      </c>
      <c r="Y67" t="s">
        <v>1145</v>
      </c>
      <c r="Z67" t="s">
        <v>74</v>
      </c>
      <c r="AA67" t="s">
        <v>74</v>
      </c>
      <c r="AB67" t="s">
        <v>1146</v>
      </c>
      <c r="AC67" t="s">
        <v>74</v>
      </c>
      <c r="AD67" t="s">
        <v>74</v>
      </c>
      <c r="AE67" t="s">
        <v>74</v>
      </c>
      <c r="AF67" t="s">
        <v>74</v>
      </c>
      <c r="AG67">
        <v>138</v>
      </c>
      <c r="AH67">
        <v>20</v>
      </c>
      <c r="AI67">
        <v>24</v>
      </c>
      <c r="AJ67">
        <v>1</v>
      </c>
      <c r="AK67">
        <v>14</v>
      </c>
      <c r="AL67" t="s">
        <v>228</v>
      </c>
      <c r="AM67" t="s">
        <v>229</v>
      </c>
      <c r="AN67" t="s">
        <v>1129</v>
      </c>
      <c r="AO67" t="s">
        <v>1130</v>
      </c>
      <c r="AP67" t="s">
        <v>74</v>
      </c>
      <c r="AQ67" t="s">
        <v>74</v>
      </c>
      <c r="AR67" t="s">
        <v>1131</v>
      </c>
      <c r="AS67" t="s">
        <v>1132</v>
      </c>
      <c r="AT67" t="s">
        <v>1120</v>
      </c>
      <c r="AU67">
        <v>2003</v>
      </c>
      <c r="AV67">
        <v>15</v>
      </c>
      <c r="AW67">
        <v>3</v>
      </c>
      <c r="AX67" t="s">
        <v>74</v>
      </c>
      <c r="AY67" t="s">
        <v>74</v>
      </c>
      <c r="AZ67" t="s">
        <v>74</v>
      </c>
      <c r="BA67" t="s">
        <v>74</v>
      </c>
      <c r="BB67">
        <v>319</v>
      </c>
      <c r="BC67">
        <v>331</v>
      </c>
      <c r="BD67" t="s">
        <v>74</v>
      </c>
      <c r="BE67" t="s">
        <v>1147</v>
      </c>
      <c r="BF67" t="str">
        <f>HYPERLINK("http://dx.doi.org/10.1017/S0954102003001330","http://dx.doi.org/10.1017/S0954102003001330")</f>
        <v>http://dx.doi.org/10.1017/S0954102003001330</v>
      </c>
      <c r="BG67" t="s">
        <v>74</v>
      </c>
      <c r="BH67" t="s">
        <v>74</v>
      </c>
      <c r="BI67">
        <v>13</v>
      </c>
      <c r="BJ67" t="s">
        <v>1134</v>
      </c>
      <c r="BK67" t="s">
        <v>94</v>
      </c>
      <c r="BL67" t="s">
        <v>1135</v>
      </c>
      <c r="BM67" t="s">
        <v>1136</v>
      </c>
      <c r="BN67" t="s">
        <v>74</v>
      </c>
      <c r="BO67" t="s">
        <v>74</v>
      </c>
      <c r="BP67" t="s">
        <v>74</v>
      </c>
      <c r="BQ67" t="s">
        <v>74</v>
      </c>
      <c r="BR67" t="s">
        <v>97</v>
      </c>
      <c r="BS67" t="s">
        <v>1148</v>
      </c>
      <c r="BT67" t="str">
        <f>HYPERLINK("https%3A%2F%2Fwww.webofscience.com%2Fwos%2Fwoscc%2Ffull-record%2FWOS:000185543900002","View Full Record in Web of Science")</f>
        <v>View Full Record in Web of Science</v>
      </c>
    </row>
    <row r="68" spans="1:72" x14ac:dyDescent="0.15">
      <c r="A68" t="s">
        <v>72</v>
      </c>
      <c r="B68" t="s">
        <v>1149</v>
      </c>
      <c r="C68" t="s">
        <v>74</v>
      </c>
      <c r="D68" t="s">
        <v>74</v>
      </c>
      <c r="E68" t="s">
        <v>74</v>
      </c>
      <c r="F68" t="s">
        <v>1149</v>
      </c>
      <c r="G68" t="s">
        <v>74</v>
      </c>
      <c r="H68" t="s">
        <v>74</v>
      </c>
      <c r="I68" t="s">
        <v>1150</v>
      </c>
      <c r="J68" t="s">
        <v>1128</v>
      </c>
      <c r="K68" t="s">
        <v>74</v>
      </c>
      <c r="L68" t="s">
        <v>74</v>
      </c>
      <c r="M68" t="s">
        <v>77</v>
      </c>
      <c r="N68" t="s">
        <v>78</v>
      </c>
      <c r="O68" t="s">
        <v>74</v>
      </c>
      <c r="P68" t="s">
        <v>74</v>
      </c>
      <c r="Q68" t="s">
        <v>74</v>
      </c>
      <c r="R68" t="s">
        <v>74</v>
      </c>
      <c r="S68" t="s">
        <v>74</v>
      </c>
      <c r="T68" t="s">
        <v>1151</v>
      </c>
      <c r="U68" t="s">
        <v>1152</v>
      </c>
      <c r="V68" t="s">
        <v>1153</v>
      </c>
      <c r="W68" t="s">
        <v>1154</v>
      </c>
      <c r="X68" t="s">
        <v>1155</v>
      </c>
      <c r="Y68" t="s">
        <v>1156</v>
      </c>
      <c r="Z68" t="s">
        <v>74</v>
      </c>
      <c r="AA68" t="s">
        <v>74</v>
      </c>
      <c r="AB68" t="s">
        <v>74</v>
      </c>
      <c r="AC68" t="s">
        <v>74</v>
      </c>
      <c r="AD68" t="s">
        <v>74</v>
      </c>
      <c r="AE68" t="s">
        <v>74</v>
      </c>
      <c r="AF68" t="s">
        <v>74</v>
      </c>
      <c r="AG68">
        <v>16</v>
      </c>
      <c r="AH68">
        <v>95</v>
      </c>
      <c r="AI68">
        <v>107</v>
      </c>
      <c r="AJ68">
        <v>0</v>
      </c>
      <c r="AK68">
        <v>11</v>
      </c>
      <c r="AL68" t="s">
        <v>228</v>
      </c>
      <c r="AM68" t="s">
        <v>229</v>
      </c>
      <c r="AN68" t="s">
        <v>1129</v>
      </c>
      <c r="AO68" t="s">
        <v>1130</v>
      </c>
      <c r="AP68" t="s">
        <v>74</v>
      </c>
      <c r="AQ68" t="s">
        <v>74</v>
      </c>
      <c r="AR68" t="s">
        <v>1131</v>
      </c>
      <c r="AS68" t="s">
        <v>1132</v>
      </c>
      <c r="AT68" t="s">
        <v>1120</v>
      </c>
      <c r="AU68">
        <v>2003</v>
      </c>
      <c r="AV68">
        <v>15</v>
      </c>
      <c r="AW68">
        <v>3</v>
      </c>
      <c r="AX68" t="s">
        <v>74</v>
      </c>
      <c r="AY68" t="s">
        <v>74</v>
      </c>
      <c r="AZ68" t="s">
        <v>74</v>
      </c>
      <c r="BA68" t="s">
        <v>74</v>
      </c>
      <c r="BB68">
        <v>333</v>
      </c>
      <c r="BC68">
        <v>338</v>
      </c>
      <c r="BD68" t="s">
        <v>74</v>
      </c>
      <c r="BE68" t="s">
        <v>1157</v>
      </c>
      <c r="BF68" t="str">
        <f>HYPERLINK("http://dx.doi.org/10.1017/S0954102003001342","http://dx.doi.org/10.1017/S0954102003001342")</f>
        <v>http://dx.doi.org/10.1017/S0954102003001342</v>
      </c>
      <c r="BG68" t="s">
        <v>74</v>
      </c>
      <c r="BH68" t="s">
        <v>74</v>
      </c>
      <c r="BI68">
        <v>6</v>
      </c>
      <c r="BJ68" t="s">
        <v>1134</v>
      </c>
      <c r="BK68" t="s">
        <v>94</v>
      </c>
      <c r="BL68" t="s">
        <v>1135</v>
      </c>
      <c r="BM68" t="s">
        <v>1136</v>
      </c>
      <c r="BN68" t="s">
        <v>74</v>
      </c>
      <c r="BO68" t="s">
        <v>74</v>
      </c>
      <c r="BP68" t="s">
        <v>74</v>
      </c>
      <c r="BQ68" t="s">
        <v>74</v>
      </c>
      <c r="BR68" t="s">
        <v>97</v>
      </c>
      <c r="BS68" t="s">
        <v>1158</v>
      </c>
      <c r="BT68" t="str">
        <f>HYPERLINK("https%3A%2F%2Fwww.webofscience.com%2Fwos%2Fwoscc%2Ffull-record%2FWOS:000185543900003","View Full Record in Web of Science")</f>
        <v>View Full Record in Web of Science</v>
      </c>
    </row>
    <row r="69" spans="1:72" x14ac:dyDescent="0.15">
      <c r="A69" t="s">
        <v>72</v>
      </c>
      <c r="B69" t="s">
        <v>1159</v>
      </c>
      <c r="C69" t="s">
        <v>74</v>
      </c>
      <c r="D69" t="s">
        <v>74</v>
      </c>
      <c r="E69" t="s">
        <v>74</v>
      </c>
      <c r="F69" t="s">
        <v>1159</v>
      </c>
      <c r="G69" t="s">
        <v>74</v>
      </c>
      <c r="H69" t="s">
        <v>74</v>
      </c>
      <c r="I69" t="s">
        <v>1160</v>
      </c>
      <c r="J69" t="s">
        <v>1128</v>
      </c>
      <c r="K69" t="s">
        <v>74</v>
      </c>
      <c r="L69" t="s">
        <v>74</v>
      </c>
      <c r="M69" t="s">
        <v>77</v>
      </c>
      <c r="N69" t="s">
        <v>78</v>
      </c>
      <c r="O69" t="s">
        <v>74</v>
      </c>
      <c r="P69" t="s">
        <v>74</v>
      </c>
      <c r="Q69" t="s">
        <v>74</v>
      </c>
      <c r="R69" t="s">
        <v>74</v>
      </c>
      <c r="S69" t="s">
        <v>74</v>
      </c>
      <c r="T69" t="s">
        <v>1161</v>
      </c>
      <c r="U69" t="s">
        <v>1162</v>
      </c>
      <c r="V69" t="s">
        <v>1163</v>
      </c>
      <c r="W69" t="s">
        <v>1164</v>
      </c>
      <c r="X69" t="s">
        <v>1165</v>
      </c>
      <c r="Y69" t="s">
        <v>1166</v>
      </c>
      <c r="Z69" t="s">
        <v>1167</v>
      </c>
      <c r="AA69" t="s">
        <v>1168</v>
      </c>
      <c r="AB69" t="s">
        <v>1169</v>
      </c>
      <c r="AC69" t="s">
        <v>74</v>
      </c>
      <c r="AD69" t="s">
        <v>74</v>
      </c>
      <c r="AE69" t="s">
        <v>74</v>
      </c>
      <c r="AF69" t="s">
        <v>74</v>
      </c>
      <c r="AG69">
        <v>40</v>
      </c>
      <c r="AH69">
        <v>13</v>
      </c>
      <c r="AI69">
        <v>14</v>
      </c>
      <c r="AJ69">
        <v>0</v>
      </c>
      <c r="AK69">
        <v>11</v>
      </c>
      <c r="AL69" t="s">
        <v>228</v>
      </c>
      <c r="AM69" t="s">
        <v>229</v>
      </c>
      <c r="AN69" t="s">
        <v>1170</v>
      </c>
      <c r="AO69" t="s">
        <v>1130</v>
      </c>
      <c r="AP69" t="s">
        <v>1171</v>
      </c>
      <c r="AQ69" t="s">
        <v>74</v>
      </c>
      <c r="AR69" t="s">
        <v>1131</v>
      </c>
      <c r="AS69" t="s">
        <v>1132</v>
      </c>
      <c r="AT69" t="s">
        <v>1120</v>
      </c>
      <c r="AU69">
        <v>2003</v>
      </c>
      <c r="AV69">
        <v>15</v>
      </c>
      <c r="AW69">
        <v>3</v>
      </c>
      <c r="AX69" t="s">
        <v>74</v>
      </c>
      <c r="AY69" t="s">
        <v>74</v>
      </c>
      <c r="AZ69" t="s">
        <v>74</v>
      </c>
      <c r="BA69" t="s">
        <v>74</v>
      </c>
      <c r="BB69">
        <v>339</v>
      </c>
      <c r="BC69">
        <v>344</v>
      </c>
      <c r="BD69" t="s">
        <v>74</v>
      </c>
      <c r="BE69" t="s">
        <v>1172</v>
      </c>
      <c r="BF69" t="str">
        <f>HYPERLINK("http://dx.doi.org/10.1017/S0954102003001354","http://dx.doi.org/10.1017/S0954102003001354")</f>
        <v>http://dx.doi.org/10.1017/S0954102003001354</v>
      </c>
      <c r="BG69" t="s">
        <v>74</v>
      </c>
      <c r="BH69" t="s">
        <v>74</v>
      </c>
      <c r="BI69">
        <v>6</v>
      </c>
      <c r="BJ69" t="s">
        <v>1134</v>
      </c>
      <c r="BK69" t="s">
        <v>94</v>
      </c>
      <c r="BL69" t="s">
        <v>1135</v>
      </c>
      <c r="BM69" t="s">
        <v>1136</v>
      </c>
      <c r="BN69" t="s">
        <v>74</v>
      </c>
      <c r="BO69" t="s">
        <v>74</v>
      </c>
      <c r="BP69" t="s">
        <v>74</v>
      </c>
      <c r="BQ69" t="s">
        <v>74</v>
      </c>
      <c r="BR69" t="s">
        <v>97</v>
      </c>
      <c r="BS69" t="s">
        <v>1173</v>
      </c>
      <c r="BT69" t="str">
        <f>HYPERLINK("https%3A%2F%2Fwww.webofscience.com%2Fwos%2Fwoscc%2Ffull-record%2FWOS:000185543900004","View Full Record in Web of Science")</f>
        <v>View Full Record in Web of Science</v>
      </c>
    </row>
    <row r="70" spans="1:72" x14ac:dyDescent="0.15">
      <c r="A70" t="s">
        <v>72</v>
      </c>
      <c r="B70" t="s">
        <v>1174</v>
      </c>
      <c r="C70" t="s">
        <v>74</v>
      </c>
      <c r="D70" t="s">
        <v>74</v>
      </c>
      <c r="E70" t="s">
        <v>74</v>
      </c>
      <c r="F70" t="s">
        <v>1174</v>
      </c>
      <c r="G70" t="s">
        <v>74</v>
      </c>
      <c r="H70" t="s">
        <v>74</v>
      </c>
      <c r="I70" t="s">
        <v>1175</v>
      </c>
      <c r="J70" t="s">
        <v>1128</v>
      </c>
      <c r="K70" t="s">
        <v>74</v>
      </c>
      <c r="L70" t="s">
        <v>74</v>
      </c>
      <c r="M70" t="s">
        <v>77</v>
      </c>
      <c r="N70" t="s">
        <v>78</v>
      </c>
      <c r="O70" t="s">
        <v>74</v>
      </c>
      <c r="P70" t="s">
        <v>74</v>
      </c>
      <c r="Q70" t="s">
        <v>74</v>
      </c>
      <c r="R70" t="s">
        <v>74</v>
      </c>
      <c r="S70" t="s">
        <v>74</v>
      </c>
      <c r="T70" t="s">
        <v>1176</v>
      </c>
      <c r="U70" t="s">
        <v>1177</v>
      </c>
      <c r="V70" t="s">
        <v>1178</v>
      </c>
      <c r="W70" t="s">
        <v>1179</v>
      </c>
      <c r="X70" t="s">
        <v>1180</v>
      </c>
      <c r="Y70" t="s">
        <v>1181</v>
      </c>
      <c r="Z70" t="s">
        <v>1182</v>
      </c>
      <c r="AA70" t="s">
        <v>1183</v>
      </c>
      <c r="AB70" t="s">
        <v>1184</v>
      </c>
      <c r="AC70" t="s">
        <v>74</v>
      </c>
      <c r="AD70" t="s">
        <v>74</v>
      </c>
      <c r="AE70" t="s">
        <v>74</v>
      </c>
      <c r="AF70" t="s">
        <v>74</v>
      </c>
      <c r="AG70">
        <v>43</v>
      </c>
      <c r="AH70">
        <v>20</v>
      </c>
      <c r="AI70">
        <v>22</v>
      </c>
      <c r="AJ70">
        <v>0</v>
      </c>
      <c r="AK70">
        <v>10</v>
      </c>
      <c r="AL70" t="s">
        <v>228</v>
      </c>
      <c r="AM70" t="s">
        <v>229</v>
      </c>
      <c r="AN70" t="s">
        <v>1170</v>
      </c>
      <c r="AO70" t="s">
        <v>1130</v>
      </c>
      <c r="AP70" t="s">
        <v>1171</v>
      </c>
      <c r="AQ70" t="s">
        <v>74</v>
      </c>
      <c r="AR70" t="s">
        <v>1131</v>
      </c>
      <c r="AS70" t="s">
        <v>1132</v>
      </c>
      <c r="AT70" t="s">
        <v>1120</v>
      </c>
      <c r="AU70">
        <v>2003</v>
      </c>
      <c r="AV70">
        <v>15</v>
      </c>
      <c r="AW70">
        <v>3</v>
      </c>
      <c r="AX70" t="s">
        <v>74</v>
      </c>
      <c r="AY70" t="s">
        <v>74</v>
      </c>
      <c r="AZ70" t="s">
        <v>74</v>
      </c>
      <c r="BA70" t="s">
        <v>74</v>
      </c>
      <c r="BB70">
        <v>345</v>
      </c>
      <c r="BC70">
        <v>352</v>
      </c>
      <c r="BD70" t="s">
        <v>74</v>
      </c>
      <c r="BE70" t="s">
        <v>1185</v>
      </c>
      <c r="BF70" t="str">
        <f>HYPERLINK("http://dx.doi.org/10.1017/S0954102003001366","http://dx.doi.org/10.1017/S0954102003001366")</f>
        <v>http://dx.doi.org/10.1017/S0954102003001366</v>
      </c>
      <c r="BG70" t="s">
        <v>74</v>
      </c>
      <c r="BH70" t="s">
        <v>74</v>
      </c>
      <c r="BI70">
        <v>8</v>
      </c>
      <c r="BJ70" t="s">
        <v>1134</v>
      </c>
      <c r="BK70" t="s">
        <v>94</v>
      </c>
      <c r="BL70" t="s">
        <v>1135</v>
      </c>
      <c r="BM70" t="s">
        <v>1136</v>
      </c>
      <c r="BN70" t="s">
        <v>74</v>
      </c>
      <c r="BO70" t="s">
        <v>74</v>
      </c>
      <c r="BP70" t="s">
        <v>74</v>
      </c>
      <c r="BQ70" t="s">
        <v>74</v>
      </c>
      <c r="BR70" t="s">
        <v>97</v>
      </c>
      <c r="BS70" t="s">
        <v>1186</v>
      </c>
      <c r="BT70" t="str">
        <f>HYPERLINK("https%3A%2F%2Fwww.webofscience.com%2Fwos%2Fwoscc%2Ffull-record%2FWOS:000185543900005","View Full Record in Web of Science")</f>
        <v>View Full Record in Web of Science</v>
      </c>
    </row>
    <row r="71" spans="1:72" x14ac:dyDescent="0.15">
      <c r="A71" t="s">
        <v>72</v>
      </c>
      <c r="B71" t="s">
        <v>1187</v>
      </c>
      <c r="C71" t="s">
        <v>74</v>
      </c>
      <c r="D71" t="s">
        <v>74</v>
      </c>
      <c r="E71" t="s">
        <v>74</v>
      </c>
      <c r="F71" t="s">
        <v>1187</v>
      </c>
      <c r="G71" t="s">
        <v>74</v>
      </c>
      <c r="H71" t="s">
        <v>74</v>
      </c>
      <c r="I71" t="s">
        <v>1188</v>
      </c>
      <c r="J71" t="s">
        <v>1128</v>
      </c>
      <c r="K71" t="s">
        <v>74</v>
      </c>
      <c r="L71" t="s">
        <v>74</v>
      </c>
      <c r="M71" t="s">
        <v>77</v>
      </c>
      <c r="N71" t="s">
        <v>78</v>
      </c>
      <c r="O71" t="s">
        <v>74</v>
      </c>
      <c r="P71" t="s">
        <v>74</v>
      </c>
      <c r="Q71" t="s">
        <v>74</v>
      </c>
      <c r="R71" t="s">
        <v>74</v>
      </c>
      <c r="S71" t="s">
        <v>74</v>
      </c>
      <c r="T71" t="s">
        <v>1189</v>
      </c>
      <c r="U71" t="s">
        <v>1190</v>
      </c>
      <c r="V71" t="s">
        <v>1191</v>
      </c>
      <c r="W71" t="s">
        <v>1192</v>
      </c>
      <c r="X71" t="s">
        <v>1193</v>
      </c>
      <c r="Y71" t="s">
        <v>1194</v>
      </c>
      <c r="Z71" t="s">
        <v>74</v>
      </c>
      <c r="AA71" t="s">
        <v>74</v>
      </c>
      <c r="AB71" t="s">
        <v>74</v>
      </c>
      <c r="AC71" t="s">
        <v>74</v>
      </c>
      <c r="AD71" t="s">
        <v>74</v>
      </c>
      <c r="AE71" t="s">
        <v>74</v>
      </c>
      <c r="AF71" t="s">
        <v>74</v>
      </c>
      <c r="AG71">
        <v>51</v>
      </c>
      <c r="AH71">
        <v>29</v>
      </c>
      <c r="AI71">
        <v>32</v>
      </c>
      <c r="AJ71">
        <v>0</v>
      </c>
      <c r="AK71">
        <v>9</v>
      </c>
      <c r="AL71" t="s">
        <v>228</v>
      </c>
      <c r="AM71" t="s">
        <v>229</v>
      </c>
      <c r="AN71" t="s">
        <v>1129</v>
      </c>
      <c r="AO71" t="s">
        <v>1130</v>
      </c>
      <c r="AP71" t="s">
        <v>74</v>
      </c>
      <c r="AQ71" t="s">
        <v>74</v>
      </c>
      <c r="AR71" t="s">
        <v>1131</v>
      </c>
      <c r="AS71" t="s">
        <v>1132</v>
      </c>
      <c r="AT71" t="s">
        <v>1120</v>
      </c>
      <c r="AU71">
        <v>2003</v>
      </c>
      <c r="AV71">
        <v>15</v>
      </c>
      <c r="AW71">
        <v>3</v>
      </c>
      <c r="AX71" t="s">
        <v>74</v>
      </c>
      <c r="AY71" t="s">
        <v>74</v>
      </c>
      <c r="AZ71" t="s">
        <v>74</v>
      </c>
      <c r="BA71" t="s">
        <v>74</v>
      </c>
      <c r="BB71">
        <v>353</v>
      </c>
      <c r="BC71">
        <v>364</v>
      </c>
      <c r="BD71" t="s">
        <v>74</v>
      </c>
      <c r="BE71" t="s">
        <v>1195</v>
      </c>
      <c r="BF71" t="str">
        <f>HYPERLINK("http://dx.doi.org/10.1017/S0954102003001378","http://dx.doi.org/10.1017/S0954102003001378")</f>
        <v>http://dx.doi.org/10.1017/S0954102003001378</v>
      </c>
      <c r="BG71" t="s">
        <v>74</v>
      </c>
      <c r="BH71" t="s">
        <v>74</v>
      </c>
      <c r="BI71">
        <v>12</v>
      </c>
      <c r="BJ71" t="s">
        <v>1134</v>
      </c>
      <c r="BK71" t="s">
        <v>94</v>
      </c>
      <c r="BL71" t="s">
        <v>1135</v>
      </c>
      <c r="BM71" t="s">
        <v>1136</v>
      </c>
      <c r="BN71" t="s">
        <v>74</v>
      </c>
      <c r="BO71" t="s">
        <v>96</v>
      </c>
      <c r="BP71" t="s">
        <v>74</v>
      </c>
      <c r="BQ71" t="s">
        <v>74</v>
      </c>
      <c r="BR71" t="s">
        <v>97</v>
      </c>
      <c r="BS71" t="s">
        <v>1196</v>
      </c>
      <c r="BT71" t="str">
        <f>HYPERLINK("https%3A%2F%2Fwww.webofscience.com%2Fwos%2Fwoscc%2Ffull-record%2FWOS:000185543900006","View Full Record in Web of Science")</f>
        <v>View Full Record in Web of Science</v>
      </c>
    </row>
    <row r="72" spans="1:72" x14ac:dyDescent="0.15">
      <c r="A72" t="s">
        <v>72</v>
      </c>
      <c r="B72" t="s">
        <v>1197</v>
      </c>
      <c r="C72" t="s">
        <v>74</v>
      </c>
      <c r="D72" t="s">
        <v>74</v>
      </c>
      <c r="E72" t="s">
        <v>74</v>
      </c>
      <c r="F72" t="s">
        <v>1197</v>
      </c>
      <c r="G72" t="s">
        <v>74</v>
      </c>
      <c r="H72" t="s">
        <v>74</v>
      </c>
      <c r="I72" t="s">
        <v>1198</v>
      </c>
      <c r="J72" t="s">
        <v>1128</v>
      </c>
      <c r="K72" t="s">
        <v>74</v>
      </c>
      <c r="L72" t="s">
        <v>74</v>
      </c>
      <c r="M72" t="s">
        <v>77</v>
      </c>
      <c r="N72" t="s">
        <v>78</v>
      </c>
      <c r="O72" t="s">
        <v>74</v>
      </c>
      <c r="P72" t="s">
        <v>74</v>
      </c>
      <c r="Q72" t="s">
        <v>74</v>
      </c>
      <c r="R72" t="s">
        <v>74</v>
      </c>
      <c r="S72" t="s">
        <v>74</v>
      </c>
      <c r="T72" t="s">
        <v>1199</v>
      </c>
      <c r="U72" t="s">
        <v>1200</v>
      </c>
      <c r="V72" t="s">
        <v>1201</v>
      </c>
      <c r="W72" t="s">
        <v>1202</v>
      </c>
      <c r="X72" t="s">
        <v>1203</v>
      </c>
      <c r="Y72" t="s">
        <v>1204</v>
      </c>
      <c r="Z72" t="s">
        <v>74</v>
      </c>
      <c r="AA72" t="s">
        <v>74</v>
      </c>
      <c r="AB72" t="s">
        <v>74</v>
      </c>
      <c r="AC72" t="s">
        <v>74</v>
      </c>
      <c r="AD72" t="s">
        <v>74</v>
      </c>
      <c r="AE72" t="s">
        <v>74</v>
      </c>
      <c r="AF72" t="s">
        <v>74</v>
      </c>
      <c r="AG72">
        <v>42</v>
      </c>
      <c r="AH72">
        <v>6</v>
      </c>
      <c r="AI72">
        <v>8</v>
      </c>
      <c r="AJ72">
        <v>2</v>
      </c>
      <c r="AK72">
        <v>9</v>
      </c>
      <c r="AL72" t="s">
        <v>228</v>
      </c>
      <c r="AM72" t="s">
        <v>229</v>
      </c>
      <c r="AN72" t="s">
        <v>1129</v>
      </c>
      <c r="AO72" t="s">
        <v>1130</v>
      </c>
      <c r="AP72" t="s">
        <v>74</v>
      </c>
      <c r="AQ72" t="s">
        <v>74</v>
      </c>
      <c r="AR72" t="s">
        <v>1131</v>
      </c>
      <c r="AS72" t="s">
        <v>1132</v>
      </c>
      <c r="AT72" t="s">
        <v>1120</v>
      </c>
      <c r="AU72">
        <v>2003</v>
      </c>
      <c r="AV72">
        <v>15</v>
      </c>
      <c r="AW72">
        <v>3</v>
      </c>
      <c r="AX72" t="s">
        <v>74</v>
      </c>
      <c r="AY72" t="s">
        <v>74</v>
      </c>
      <c r="AZ72" t="s">
        <v>74</v>
      </c>
      <c r="BA72" t="s">
        <v>74</v>
      </c>
      <c r="BB72">
        <v>365</v>
      </c>
      <c r="BC72">
        <v>378</v>
      </c>
      <c r="BD72" t="s">
        <v>74</v>
      </c>
      <c r="BE72" t="s">
        <v>1205</v>
      </c>
      <c r="BF72" t="str">
        <f>HYPERLINK("http://dx.doi.org/10.1017/S095410200300138X","http://dx.doi.org/10.1017/S095410200300138X")</f>
        <v>http://dx.doi.org/10.1017/S095410200300138X</v>
      </c>
      <c r="BG72" t="s">
        <v>74</v>
      </c>
      <c r="BH72" t="s">
        <v>74</v>
      </c>
      <c r="BI72">
        <v>14</v>
      </c>
      <c r="BJ72" t="s">
        <v>1134</v>
      </c>
      <c r="BK72" t="s">
        <v>94</v>
      </c>
      <c r="BL72" t="s">
        <v>1135</v>
      </c>
      <c r="BM72" t="s">
        <v>1136</v>
      </c>
      <c r="BN72" t="s">
        <v>74</v>
      </c>
      <c r="BO72" t="s">
        <v>74</v>
      </c>
      <c r="BP72" t="s">
        <v>74</v>
      </c>
      <c r="BQ72" t="s">
        <v>74</v>
      </c>
      <c r="BR72" t="s">
        <v>97</v>
      </c>
      <c r="BS72" t="s">
        <v>1206</v>
      </c>
      <c r="BT72" t="str">
        <f>HYPERLINK("https%3A%2F%2Fwww.webofscience.com%2Fwos%2Fwoscc%2Ffull-record%2FWOS:000185543900007","View Full Record in Web of Science")</f>
        <v>View Full Record in Web of Science</v>
      </c>
    </row>
    <row r="73" spans="1:72" x14ac:dyDescent="0.15">
      <c r="A73" t="s">
        <v>72</v>
      </c>
      <c r="B73" t="s">
        <v>1207</v>
      </c>
      <c r="C73" t="s">
        <v>74</v>
      </c>
      <c r="D73" t="s">
        <v>74</v>
      </c>
      <c r="E73" t="s">
        <v>74</v>
      </c>
      <c r="F73" t="s">
        <v>1207</v>
      </c>
      <c r="G73" t="s">
        <v>74</v>
      </c>
      <c r="H73" t="s">
        <v>74</v>
      </c>
      <c r="I73" t="s">
        <v>1208</v>
      </c>
      <c r="J73" t="s">
        <v>1128</v>
      </c>
      <c r="K73" t="s">
        <v>74</v>
      </c>
      <c r="L73" t="s">
        <v>74</v>
      </c>
      <c r="M73" t="s">
        <v>77</v>
      </c>
      <c r="N73" t="s">
        <v>78</v>
      </c>
      <c r="O73" t="s">
        <v>74</v>
      </c>
      <c r="P73" t="s">
        <v>74</v>
      </c>
      <c r="Q73" t="s">
        <v>74</v>
      </c>
      <c r="R73" t="s">
        <v>74</v>
      </c>
      <c r="S73" t="s">
        <v>74</v>
      </c>
      <c r="T73" t="s">
        <v>1209</v>
      </c>
      <c r="U73" t="s">
        <v>1210</v>
      </c>
      <c r="V73" t="s">
        <v>1211</v>
      </c>
      <c r="W73" t="s">
        <v>1212</v>
      </c>
      <c r="X73" t="s">
        <v>1213</v>
      </c>
      <c r="Y73" t="s">
        <v>1214</v>
      </c>
      <c r="Z73" t="s">
        <v>1215</v>
      </c>
      <c r="AA73" t="s">
        <v>986</v>
      </c>
      <c r="AB73" t="s">
        <v>987</v>
      </c>
      <c r="AC73" t="s">
        <v>74</v>
      </c>
      <c r="AD73" t="s">
        <v>74</v>
      </c>
      <c r="AE73" t="s">
        <v>74</v>
      </c>
      <c r="AF73" t="s">
        <v>74</v>
      </c>
      <c r="AG73">
        <v>51</v>
      </c>
      <c r="AH73">
        <v>8</v>
      </c>
      <c r="AI73">
        <v>9</v>
      </c>
      <c r="AJ73">
        <v>0</v>
      </c>
      <c r="AK73">
        <v>3</v>
      </c>
      <c r="AL73" t="s">
        <v>228</v>
      </c>
      <c r="AM73" t="s">
        <v>229</v>
      </c>
      <c r="AN73" t="s">
        <v>1170</v>
      </c>
      <c r="AO73" t="s">
        <v>1130</v>
      </c>
      <c r="AP73" t="s">
        <v>1171</v>
      </c>
      <c r="AQ73" t="s">
        <v>74</v>
      </c>
      <c r="AR73" t="s">
        <v>1131</v>
      </c>
      <c r="AS73" t="s">
        <v>1132</v>
      </c>
      <c r="AT73" t="s">
        <v>1120</v>
      </c>
      <c r="AU73">
        <v>2003</v>
      </c>
      <c r="AV73">
        <v>15</v>
      </c>
      <c r="AW73">
        <v>3</v>
      </c>
      <c r="AX73" t="s">
        <v>74</v>
      </c>
      <c r="AY73" t="s">
        <v>74</v>
      </c>
      <c r="AZ73" t="s">
        <v>74</v>
      </c>
      <c r="BA73" t="s">
        <v>74</v>
      </c>
      <c r="BB73">
        <v>379</v>
      </c>
      <c r="BC73">
        <v>391</v>
      </c>
      <c r="BD73" t="s">
        <v>74</v>
      </c>
      <c r="BE73" t="s">
        <v>1216</v>
      </c>
      <c r="BF73" t="str">
        <f>HYPERLINK("http://dx.doi.org/10.1017/S0954102003001391","http://dx.doi.org/10.1017/S0954102003001391")</f>
        <v>http://dx.doi.org/10.1017/S0954102003001391</v>
      </c>
      <c r="BG73" t="s">
        <v>74</v>
      </c>
      <c r="BH73" t="s">
        <v>74</v>
      </c>
      <c r="BI73">
        <v>13</v>
      </c>
      <c r="BJ73" t="s">
        <v>1134</v>
      </c>
      <c r="BK73" t="s">
        <v>94</v>
      </c>
      <c r="BL73" t="s">
        <v>1135</v>
      </c>
      <c r="BM73" t="s">
        <v>1136</v>
      </c>
      <c r="BN73" t="s">
        <v>74</v>
      </c>
      <c r="BO73" t="s">
        <v>96</v>
      </c>
      <c r="BP73" t="s">
        <v>74</v>
      </c>
      <c r="BQ73" t="s">
        <v>74</v>
      </c>
      <c r="BR73" t="s">
        <v>97</v>
      </c>
      <c r="BS73" t="s">
        <v>1217</v>
      </c>
      <c r="BT73" t="str">
        <f>HYPERLINK("https%3A%2F%2Fwww.webofscience.com%2Fwos%2Fwoscc%2Ffull-record%2FWOS:000185543900008","View Full Record in Web of Science")</f>
        <v>View Full Record in Web of Science</v>
      </c>
    </row>
    <row r="74" spans="1:72" x14ac:dyDescent="0.15">
      <c r="A74" t="s">
        <v>72</v>
      </c>
      <c r="B74" t="s">
        <v>1218</v>
      </c>
      <c r="C74" t="s">
        <v>74</v>
      </c>
      <c r="D74" t="s">
        <v>74</v>
      </c>
      <c r="E74" t="s">
        <v>74</v>
      </c>
      <c r="F74" t="s">
        <v>1218</v>
      </c>
      <c r="G74" t="s">
        <v>74</v>
      </c>
      <c r="H74" t="s">
        <v>74</v>
      </c>
      <c r="I74" t="s">
        <v>1219</v>
      </c>
      <c r="J74" t="s">
        <v>1128</v>
      </c>
      <c r="K74" t="s">
        <v>74</v>
      </c>
      <c r="L74" t="s">
        <v>74</v>
      </c>
      <c r="M74" t="s">
        <v>77</v>
      </c>
      <c r="N74" t="s">
        <v>78</v>
      </c>
      <c r="O74" t="s">
        <v>74</v>
      </c>
      <c r="P74" t="s">
        <v>74</v>
      </c>
      <c r="Q74" t="s">
        <v>74</v>
      </c>
      <c r="R74" t="s">
        <v>74</v>
      </c>
      <c r="S74" t="s">
        <v>74</v>
      </c>
      <c r="T74" t="s">
        <v>1220</v>
      </c>
      <c r="U74" t="s">
        <v>1221</v>
      </c>
      <c r="V74" t="s">
        <v>1222</v>
      </c>
      <c r="W74" t="s">
        <v>705</v>
      </c>
      <c r="X74" t="s">
        <v>706</v>
      </c>
      <c r="Y74" t="s">
        <v>1223</v>
      </c>
      <c r="Z74" t="s">
        <v>74</v>
      </c>
      <c r="AA74" t="s">
        <v>1224</v>
      </c>
      <c r="AB74" t="s">
        <v>1225</v>
      </c>
      <c r="AC74" t="s">
        <v>74</v>
      </c>
      <c r="AD74" t="s">
        <v>74</v>
      </c>
      <c r="AE74" t="s">
        <v>74</v>
      </c>
      <c r="AF74" t="s">
        <v>74</v>
      </c>
      <c r="AG74">
        <v>10</v>
      </c>
      <c r="AH74">
        <v>16</v>
      </c>
      <c r="AI74">
        <v>19</v>
      </c>
      <c r="AJ74">
        <v>0</v>
      </c>
      <c r="AK74">
        <v>8</v>
      </c>
      <c r="AL74" t="s">
        <v>228</v>
      </c>
      <c r="AM74" t="s">
        <v>229</v>
      </c>
      <c r="AN74" t="s">
        <v>1129</v>
      </c>
      <c r="AO74" t="s">
        <v>1130</v>
      </c>
      <c r="AP74" t="s">
        <v>74</v>
      </c>
      <c r="AQ74" t="s">
        <v>74</v>
      </c>
      <c r="AR74" t="s">
        <v>1131</v>
      </c>
      <c r="AS74" t="s">
        <v>1132</v>
      </c>
      <c r="AT74" t="s">
        <v>1120</v>
      </c>
      <c r="AU74">
        <v>2003</v>
      </c>
      <c r="AV74">
        <v>15</v>
      </c>
      <c r="AW74">
        <v>3</v>
      </c>
      <c r="AX74" t="s">
        <v>74</v>
      </c>
      <c r="AY74" t="s">
        <v>74</v>
      </c>
      <c r="AZ74" t="s">
        <v>74</v>
      </c>
      <c r="BA74" t="s">
        <v>74</v>
      </c>
      <c r="BB74">
        <v>393</v>
      </c>
      <c r="BC74">
        <v>398</v>
      </c>
      <c r="BD74" t="s">
        <v>74</v>
      </c>
      <c r="BE74" t="s">
        <v>1226</v>
      </c>
      <c r="BF74" t="str">
        <f>HYPERLINK("http://dx.doi.org/10.1017/S0954102003001408","http://dx.doi.org/10.1017/S0954102003001408")</f>
        <v>http://dx.doi.org/10.1017/S0954102003001408</v>
      </c>
      <c r="BG74" t="s">
        <v>74</v>
      </c>
      <c r="BH74" t="s">
        <v>74</v>
      </c>
      <c r="BI74">
        <v>6</v>
      </c>
      <c r="BJ74" t="s">
        <v>1134</v>
      </c>
      <c r="BK74" t="s">
        <v>94</v>
      </c>
      <c r="BL74" t="s">
        <v>1135</v>
      </c>
      <c r="BM74" t="s">
        <v>1136</v>
      </c>
      <c r="BN74" t="s">
        <v>74</v>
      </c>
      <c r="BO74" t="s">
        <v>74</v>
      </c>
      <c r="BP74" t="s">
        <v>74</v>
      </c>
      <c r="BQ74" t="s">
        <v>74</v>
      </c>
      <c r="BR74" t="s">
        <v>97</v>
      </c>
      <c r="BS74" t="s">
        <v>1227</v>
      </c>
      <c r="BT74" t="str">
        <f>HYPERLINK("https%3A%2F%2Fwww.webofscience.com%2Fwos%2Fwoscc%2Ffull-record%2FWOS:000185543900009","View Full Record in Web of Science")</f>
        <v>View Full Record in Web of Science</v>
      </c>
    </row>
    <row r="75" spans="1:72" x14ac:dyDescent="0.15">
      <c r="A75" t="s">
        <v>72</v>
      </c>
      <c r="B75" t="s">
        <v>1228</v>
      </c>
      <c r="C75" t="s">
        <v>74</v>
      </c>
      <c r="D75" t="s">
        <v>74</v>
      </c>
      <c r="E75" t="s">
        <v>74</v>
      </c>
      <c r="F75" t="s">
        <v>1228</v>
      </c>
      <c r="G75" t="s">
        <v>74</v>
      </c>
      <c r="H75" t="s">
        <v>74</v>
      </c>
      <c r="I75" t="s">
        <v>1229</v>
      </c>
      <c r="J75" t="s">
        <v>1128</v>
      </c>
      <c r="K75" t="s">
        <v>74</v>
      </c>
      <c r="L75" t="s">
        <v>74</v>
      </c>
      <c r="M75" t="s">
        <v>77</v>
      </c>
      <c r="N75" t="s">
        <v>78</v>
      </c>
      <c r="O75" t="s">
        <v>74</v>
      </c>
      <c r="P75" t="s">
        <v>74</v>
      </c>
      <c r="Q75" t="s">
        <v>74</v>
      </c>
      <c r="R75" t="s">
        <v>74</v>
      </c>
      <c r="S75" t="s">
        <v>74</v>
      </c>
      <c r="T75" t="s">
        <v>1230</v>
      </c>
      <c r="U75" t="s">
        <v>1231</v>
      </c>
      <c r="V75" t="s">
        <v>1232</v>
      </c>
      <c r="W75" t="s">
        <v>1233</v>
      </c>
      <c r="X75" t="s">
        <v>1234</v>
      </c>
      <c r="Y75" t="s">
        <v>1235</v>
      </c>
      <c r="Z75" t="s">
        <v>74</v>
      </c>
      <c r="AA75" t="s">
        <v>1236</v>
      </c>
      <c r="AB75" t="s">
        <v>1237</v>
      </c>
      <c r="AC75" t="s">
        <v>74</v>
      </c>
      <c r="AD75" t="s">
        <v>74</v>
      </c>
      <c r="AE75" t="s">
        <v>74</v>
      </c>
      <c r="AF75" t="s">
        <v>74</v>
      </c>
      <c r="AG75">
        <v>21</v>
      </c>
      <c r="AH75">
        <v>10</v>
      </c>
      <c r="AI75">
        <v>11</v>
      </c>
      <c r="AJ75">
        <v>1</v>
      </c>
      <c r="AK75">
        <v>5</v>
      </c>
      <c r="AL75" t="s">
        <v>228</v>
      </c>
      <c r="AM75" t="s">
        <v>229</v>
      </c>
      <c r="AN75" t="s">
        <v>1170</v>
      </c>
      <c r="AO75" t="s">
        <v>1130</v>
      </c>
      <c r="AP75" t="s">
        <v>1171</v>
      </c>
      <c r="AQ75" t="s">
        <v>74</v>
      </c>
      <c r="AR75" t="s">
        <v>1131</v>
      </c>
      <c r="AS75" t="s">
        <v>1132</v>
      </c>
      <c r="AT75" t="s">
        <v>1120</v>
      </c>
      <c r="AU75">
        <v>2003</v>
      </c>
      <c r="AV75">
        <v>15</v>
      </c>
      <c r="AW75">
        <v>3</v>
      </c>
      <c r="AX75" t="s">
        <v>74</v>
      </c>
      <c r="AY75" t="s">
        <v>74</v>
      </c>
      <c r="AZ75" t="s">
        <v>74</v>
      </c>
      <c r="BA75" t="s">
        <v>74</v>
      </c>
      <c r="BB75">
        <v>399</v>
      </c>
      <c r="BC75">
        <v>404</v>
      </c>
      <c r="BD75" t="s">
        <v>74</v>
      </c>
      <c r="BE75" t="s">
        <v>1238</v>
      </c>
      <c r="BF75" t="str">
        <f>HYPERLINK("http://dx.doi.org/10.1017/S095410200300141X","http://dx.doi.org/10.1017/S095410200300141X")</f>
        <v>http://dx.doi.org/10.1017/S095410200300141X</v>
      </c>
      <c r="BG75" t="s">
        <v>74</v>
      </c>
      <c r="BH75" t="s">
        <v>74</v>
      </c>
      <c r="BI75">
        <v>6</v>
      </c>
      <c r="BJ75" t="s">
        <v>1134</v>
      </c>
      <c r="BK75" t="s">
        <v>94</v>
      </c>
      <c r="BL75" t="s">
        <v>1135</v>
      </c>
      <c r="BM75" t="s">
        <v>1136</v>
      </c>
      <c r="BN75" t="s">
        <v>74</v>
      </c>
      <c r="BO75" t="s">
        <v>74</v>
      </c>
      <c r="BP75" t="s">
        <v>74</v>
      </c>
      <c r="BQ75" t="s">
        <v>74</v>
      </c>
      <c r="BR75" t="s">
        <v>97</v>
      </c>
      <c r="BS75" t="s">
        <v>1239</v>
      </c>
      <c r="BT75" t="str">
        <f>HYPERLINK("https%3A%2F%2Fwww.webofscience.com%2Fwos%2Fwoscc%2Ffull-record%2FWOS:000185543900010","View Full Record in Web of Science")</f>
        <v>View Full Record in Web of Science</v>
      </c>
    </row>
    <row r="76" spans="1:72" x14ac:dyDescent="0.15">
      <c r="A76" t="s">
        <v>72</v>
      </c>
      <c r="B76" t="s">
        <v>1240</v>
      </c>
      <c r="C76" t="s">
        <v>74</v>
      </c>
      <c r="D76" t="s">
        <v>74</v>
      </c>
      <c r="E76" t="s">
        <v>74</v>
      </c>
      <c r="F76" t="s">
        <v>1240</v>
      </c>
      <c r="G76" t="s">
        <v>74</v>
      </c>
      <c r="H76" t="s">
        <v>74</v>
      </c>
      <c r="I76" t="s">
        <v>1241</v>
      </c>
      <c r="J76" t="s">
        <v>1128</v>
      </c>
      <c r="K76" t="s">
        <v>74</v>
      </c>
      <c r="L76" t="s">
        <v>74</v>
      </c>
      <c r="M76" t="s">
        <v>77</v>
      </c>
      <c r="N76" t="s">
        <v>78</v>
      </c>
      <c r="O76" t="s">
        <v>74</v>
      </c>
      <c r="P76" t="s">
        <v>74</v>
      </c>
      <c r="Q76" t="s">
        <v>74</v>
      </c>
      <c r="R76" t="s">
        <v>74</v>
      </c>
      <c r="S76" t="s">
        <v>74</v>
      </c>
      <c r="T76" t="s">
        <v>1242</v>
      </c>
      <c r="U76" t="s">
        <v>1243</v>
      </c>
      <c r="V76" t="s">
        <v>1244</v>
      </c>
      <c r="W76" t="s">
        <v>1245</v>
      </c>
      <c r="X76" t="s">
        <v>1246</v>
      </c>
      <c r="Y76" t="s">
        <v>1247</v>
      </c>
      <c r="Z76" t="s">
        <v>74</v>
      </c>
      <c r="AA76" t="s">
        <v>1248</v>
      </c>
      <c r="AB76" t="s">
        <v>1249</v>
      </c>
      <c r="AC76" t="s">
        <v>74</v>
      </c>
      <c r="AD76" t="s">
        <v>74</v>
      </c>
      <c r="AE76" t="s">
        <v>74</v>
      </c>
      <c r="AF76" t="s">
        <v>74</v>
      </c>
      <c r="AG76">
        <v>34</v>
      </c>
      <c r="AH76">
        <v>9</v>
      </c>
      <c r="AI76">
        <v>9</v>
      </c>
      <c r="AJ76">
        <v>1</v>
      </c>
      <c r="AK76">
        <v>6</v>
      </c>
      <c r="AL76" t="s">
        <v>228</v>
      </c>
      <c r="AM76" t="s">
        <v>229</v>
      </c>
      <c r="AN76" t="s">
        <v>1129</v>
      </c>
      <c r="AO76" t="s">
        <v>1130</v>
      </c>
      <c r="AP76" t="s">
        <v>74</v>
      </c>
      <c r="AQ76" t="s">
        <v>74</v>
      </c>
      <c r="AR76" t="s">
        <v>1131</v>
      </c>
      <c r="AS76" t="s">
        <v>1132</v>
      </c>
      <c r="AT76" t="s">
        <v>1120</v>
      </c>
      <c r="AU76">
        <v>2003</v>
      </c>
      <c r="AV76">
        <v>15</v>
      </c>
      <c r="AW76">
        <v>3</v>
      </c>
      <c r="AX76" t="s">
        <v>74</v>
      </c>
      <c r="AY76" t="s">
        <v>74</v>
      </c>
      <c r="AZ76" t="s">
        <v>74</v>
      </c>
      <c r="BA76" t="s">
        <v>74</v>
      </c>
      <c r="BB76">
        <v>405</v>
      </c>
      <c r="BC76">
        <v>411</v>
      </c>
      <c r="BD76" t="s">
        <v>74</v>
      </c>
      <c r="BE76" t="s">
        <v>1250</v>
      </c>
      <c r="BF76" t="str">
        <f>HYPERLINK("http://dx.doi.org/10.1017/S0954102003001421","http://dx.doi.org/10.1017/S0954102003001421")</f>
        <v>http://dx.doi.org/10.1017/S0954102003001421</v>
      </c>
      <c r="BG76" t="s">
        <v>74</v>
      </c>
      <c r="BH76" t="s">
        <v>74</v>
      </c>
      <c r="BI76">
        <v>7</v>
      </c>
      <c r="BJ76" t="s">
        <v>1134</v>
      </c>
      <c r="BK76" t="s">
        <v>94</v>
      </c>
      <c r="BL76" t="s">
        <v>1135</v>
      </c>
      <c r="BM76" t="s">
        <v>1136</v>
      </c>
      <c r="BN76" t="s">
        <v>74</v>
      </c>
      <c r="BO76" t="s">
        <v>74</v>
      </c>
      <c r="BP76" t="s">
        <v>74</v>
      </c>
      <c r="BQ76" t="s">
        <v>74</v>
      </c>
      <c r="BR76" t="s">
        <v>97</v>
      </c>
      <c r="BS76" t="s">
        <v>1251</v>
      </c>
      <c r="BT76" t="str">
        <f>HYPERLINK("https%3A%2F%2Fwww.webofscience.com%2Fwos%2Fwoscc%2Ffull-record%2FWOS:000185543900011","View Full Record in Web of Science")</f>
        <v>View Full Record in Web of Science</v>
      </c>
    </row>
    <row r="77" spans="1:72" x14ac:dyDescent="0.15">
      <c r="A77" t="s">
        <v>72</v>
      </c>
      <c r="B77" t="s">
        <v>1252</v>
      </c>
      <c r="C77" t="s">
        <v>74</v>
      </c>
      <c r="D77" t="s">
        <v>74</v>
      </c>
      <c r="E77" t="s">
        <v>74</v>
      </c>
      <c r="F77" t="s">
        <v>1252</v>
      </c>
      <c r="G77" t="s">
        <v>74</v>
      </c>
      <c r="H77" t="s">
        <v>74</v>
      </c>
      <c r="I77" t="s">
        <v>1253</v>
      </c>
      <c r="J77" t="s">
        <v>1254</v>
      </c>
      <c r="K77" t="s">
        <v>74</v>
      </c>
      <c r="L77" t="s">
        <v>74</v>
      </c>
      <c r="M77" t="s">
        <v>77</v>
      </c>
      <c r="N77" t="s">
        <v>78</v>
      </c>
      <c r="O77" t="s">
        <v>74</v>
      </c>
      <c r="P77" t="s">
        <v>74</v>
      </c>
      <c r="Q77" t="s">
        <v>74</v>
      </c>
      <c r="R77" t="s">
        <v>74</v>
      </c>
      <c r="S77" t="s">
        <v>74</v>
      </c>
      <c r="T77" t="s">
        <v>74</v>
      </c>
      <c r="U77" t="s">
        <v>1255</v>
      </c>
      <c r="V77" t="s">
        <v>1256</v>
      </c>
      <c r="W77" t="s">
        <v>1257</v>
      </c>
      <c r="X77" t="s">
        <v>1258</v>
      </c>
      <c r="Y77" t="s">
        <v>1259</v>
      </c>
      <c r="Z77" t="s">
        <v>1260</v>
      </c>
      <c r="AA77" t="s">
        <v>1261</v>
      </c>
      <c r="AB77" t="s">
        <v>1262</v>
      </c>
      <c r="AC77" t="s">
        <v>74</v>
      </c>
      <c r="AD77" t="s">
        <v>74</v>
      </c>
      <c r="AE77" t="s">
        <v>74</v>
      </c>
      <c r="AF77" t="s">
        <v>74</v>
      </c>
      <c r="AG77">
        <v>72</v>
      </c>
      <c r="AH77">
        <v>375</v>
      </c>
      <c r="AI77">
        <v>432</v>
      </c>
      <c r="AJ77">
        <v>1</v>
      </c>
      <c r="AK77">
        <v>73</v>
      </c>
      <c r="AL77" t="s">
        <v>1263</v>
      </c>
      <c r="AM77" t="s">
        <v>540</v>
      </c>
      <c r="AN77" t="s">
        <v>1264</v>
      </c>
      <c r="AO77" t="s">
        <v>1265</v>
      </c>
      <c r="AP77" t="s">
        <v>1266</v>
      </c>
      <c r="AQ77" t="s">
        <v>74</v>
      </c>
      <c r="AR77" t="s">
        <v>1267</v>
      </c>
      <c r="AS77" t="s">
        <v>1268</v>
      </c>
      <c r="AT77" t="s">
        <v>1120</v>
      </c>
      <c r="AU77">
        <v>2003</v>
      </c>
      <c r="AV77">
        <v>69</v>
      </c>
      <c r="AW77">
        <v>9</v>
      </c>
      <c r="AX77" t="s">
        <v>74</v>
      </c>
      <c r="AY77" t="s">
        <v>74</v>
      </c>
      <c r="AZ77" t="s">
        <v>74</v>
      </c>
      <c r="BA77" t="s">
        <v>74</v>
      </c>
      <c r="BB77">
        <v>5157</v>
      </c>
      <c r="BC77">
        <v>5169</v>
      </c>
      <c r="BD77" t="s">
        <v>74</v>
      </c>
      <c r="BE77" t="s">
        <v>1269</v>
      </c>
      <c r="BF77" t="str">
        <f>HYPERLINK("http://dx.doi.org/10.1128/AEM.69.9.5157-5169.2003","http://dx.doi.org/10.1128/AEM.69.9.5157-5169.2003")</f>
        <v>http://dx.doi.org/10.1128/AEM.69.9.5157-5169.2003</v>
      </c>
      <c r="BG77" t="s">
        <v>74</v>
      </c>
      <c r="BH77" t="s">
        <v>74</v>
      </c>
      <c r="BI77">
        <v>13</v>
      </c>
      <c r="BJ77" t="s">
        <v>1270</v>
      </c>
      <c r="BK77" t="s">
        <v>94</v>
      </c>
      <c r="BL77" t="s">
        <v>1270</v>
      </c>
      <c r="BM77" t="s">
        <v>1271</v>
      </c>
      <c r="BN77">
        <v>12957897</v>
      </c>
      <c r="BO77" t="s">
        <v>1272</v>
      </c>
      <c r="BP77" t="s">
        <v>74</v>
      </c>
      <c r="BQ77" t="s">
        <v>74</v>
      </c>
      <c r="BR77" t="s">
        <v>97</v>
      </c>
      <c r="BS77" t="s">
        <v>1273</v>
      </c>
      <c r="BT77" t="str">
        <f>HYPERLINK("https%3A%2F%2Fwww.webofscience.com%2Fwos%2Fwoscc%2Ffull-record%2FWOS:000185437000014","View Full Record in Web of Science")</f>
        <v>View Full Record in Web of Science</v>
      </c>
    </row>
    <row r="78" spans="1:72" x14ac:dyDescent="0.15">
      <c r="A78" t="s">
        <v>72</v>
      </c>
      <c r="B78" t="s">
        <v>1274</v>
      </c>
      <c r="C78" t="s">
        <v>74</v>
      </c>
      <c r="D78" t="s">
        <v>74</v>
      </c>
      <c r="E78" t="s">
        <v>74</v>
      </c>
      <c r="F78" t="s">
        <v>1274</v>
      </c>
      <c r="G78" t="s">
        <v>74</v>
      </c>
      <c r="H78" t="s">
        <v>74</v>
      </c>
      <c r="I78" t="s">
        <v>1275</v>
      </c>
      <c r="J78" t="s">
        <v>1276</v>
      </c>
      <c r="K78" t="s">
        <v>74</v>
      </c>
      <c r="L78" t="s">
        <v>74</v>
      </c>
      <c r="M78" t="s">
        <v>77</v>
      </c>
      <c r="N78" t="s">
        <v>78</v>
      </c>
      <c r="O78" t="s">
        <v>74</v>
      </c>
      <c r="P78" t="s">
        <v>74</v>
      </c>
      <c r="Q78" t="s">
        <v>74</v>
      </c>
      <c r="R78" t="s">
        <v>74</v>
      </c>
      <c r="S78" t="s">
        <v>74</v>
      </c>
      <c r="T78" t="s">
        <v>1277</v>
      </c>
      <c r="U78" t="s">
        <v>1278</v>
      </c>
      <c r="V78" t="s">
        <v>1279</v>
      </c>
      <c r="W78" t="s">
        <v>1280</v>
      </c>
      <c r="X78" t="s">
        <v>1281</v>
      </c>
      <c r="Y78" t="s">
        <v>1282</v>
      </c>
      <c r="Z78" t="s">
        <v>1283</v>
      </c>
      <c r="AA78" t="s">
        <v>74</v>
      </c>
      <c r="AB78" t="s">
        <v>74</v>
      </c>
      <c r="AC78" t="s">
        <v>74</v>
      </c>
      <c r="AD78" t="s">
        <v>74</v>
      </c>
      <c r="AE78" t="s">
        <v>74</v>
      </c>
      <c r="AF78" t="s">
        <v>74</v>
      </c>
      <c r="AG78">
        <v>63</v>
      </c>
      <c r="AH78">
        <v>81</v>
      </c>
      <c r="AI78">
        <v>90</v>
      </c>
      <c r="AJ78">
        <v>1</v>
      </c>
      <c r="AK78">
        <v>18</v>
      </c>
      <c r="AL78" t="s">
        <v>1284</v>
      </c>
      <c r="AM78" t="s">
        <v>1285</v>
      </c>
      <c r="AN78" t="s">
        <v>1286</v>
      </c>
      <c r="AO78" t="s">
        <v>1287</v>
      </c>
      <c r="AP78" t="s">
        <v>1288</v>
      </c>
      <c r="AQ78" t="s">
        <v>74</v>
      </c>
      <c r="AR78" t="s">
        <v>1276</v>
      </c>
      <c r="AS78" t="s">
        <v>1289</v>
      </c>
      <c r="AT78" t="s">
        <v>1290</v>
      </c>
      <c r="AU78">
        <v>2003</v>
      </c>
      <c r="AV78">
        <v>3</v>
      </c>
      <c r="AW78">
        <v>3</v>
      </c>
      <c r="AX78" t="s">
        <v>74</v>
      </c>
      <c r="AY78" t="s">
        <v>74</v>
      </c>
      <c r="AZ78" t="s">
        <v>74</v>
      </c>
      <c r="BA78" t="s">
        <v>74</v>
      </c>
      <c r="BB78">
        <v>565</v>
      </c>
      <c r="BC78">
        <v>579</v>
      </c>
      <c r="BD78" t="s">
        <v>74</v>
      </c>
      <c r="BE78" t="s">
        <v>1291</v>
      </c>
      <c r="BF78" t="str">
        <f>HYPERLINK("http://dx.doi.org/10.1089/153110703322610654","http://dx.doi.org/10.1089/153110703322610654")</f>
        <v>http://dx.doi.org/10.1089/153110703322610654</v>
      </c>
      <c r="BG78" t="s">
        <v>74</v>
      </c>
      <c r="BH78" t="s">
        <v>74</v>
      </c>
      <c r="BI78">
        <v>15</v>
      </c>
      <c r="BJ78" t="s">
        <v>1292</v>
      </c>
      <c r="BK78" t="s">
        <v>94</v>
      </c>
      <c r="BL78" t="s">
        <v>1293</v>
      </c>
      <c r="BM78" t="s">
        <v>1294</v>
      </c>
      <c r="BN78">
        <v>14678665</v>
      </c>
      <c r="BO78" t="s">
        <v>74</v>
      </c>
      <c r="BP78" t="s">
        <v>74</v>
      </c>
      <c r="BQ78" t="s">
        <v>74</v>
      </c>
      <c r="BR78" t="s">
        <v>97</v>
      </c>
      <c r="BS78" t="s">
        <v>1295</v>
      </c>
      <c r="BT78" t="str">
        <f>HYPERLINK("https%3A%2F%2Fwww.webofscience.com%2Fwos%2Fwoscc%2Ffull-record%2FWOS:000187155600009","View Full Record in Web of Science")</f>
        <v>View Full Record in Web of Science</v>
      </c>
    </row>
    <row r="79" spans="1:72" x14ac:dyDescent="0.15">
      <c r="A79" t="s">
        <v>72</v>
      </c>
      <c r="B79" t="s">
        <v>1296</v>
      </c>
      <c r="C79" t="s">
        <v>74</v>
      </c>
      <c r="D79" t="s">
        <v>74</v>
      </c>
      <c r="E79" t="s">
        <v>74</v>
      </c>
      <c r="F79" t="s">
        <v>1296</v>
      </c>
      <c r="G79" t="s">
        <v>74</v>
      </c>
      <c r="H79" t="s">
        <v>74</v>
      </c>
      <c r="I79" t="s">
        <v>1297</v>
      </c>
      <c r="J79" t="s">
        <v>1276</v>
      </c>
      <c r="K79" t="s">
        <v>74</v>
      </c>
      <c r="L79" t="s">
        <v>74</v>
      </c>
      <c r="M79" t="s">
        <v>77</v>
      </c>
      <c r="N79" t="s">
        <v>159</v>
      </c>
      <c r="O79" t="s">
        <v>1298</v>
      </c>
      <c r="P79" t="s">
        <v>1299</v>
      </c>
      <c r="Q79" t="s">
        <v>1300</v>
      </c>
      <c r="R79" t="s">
        <v>74</v>
      </c>
      <c r="S79" t="s">
        <v>74</v>
      </c>
      <c r="T79" t="s">
        <v>1301</v>
      </c>
      <c r="U79" t="s">
        <v>1302</v>
      </c>
      <c r="V79" t="s">
        <v>1303</v>
      </c>
      <c r="W79" t="s">
        <v>1304</v>
      </c>
      <c r="X79" t="s">
        <v>1305</v>
      </c>
      <c r="Y79" t="s">
        <v>1306</v>
      </c>
      <c r="Z79" t="s">
        <v>74</v>
      </c>
      <c r="AA79" t="s">
        <v>74</v>
      </c>
      <c r="AB79" t="s">
        <v>1307</v>
      </c>
      <c r="AC79" t="s">
        <v>74</v>
      </c>
      <c r="AD79" t="s">
        <v>74</v>
      </c>
      <c r="AE79" t="s">
        <v>74</v>
      </c>
      <c r="AF79" t="s">
        <v>74</v>
      </c>
      <c r="AG79">
        <v>52</v>
      </c>
      <c r="AH79">
        <v>59</v>
      </c>
      <c r="AI79">
        <v>69</v>
      </c>
      <c r="AJ79">
        <v>0</v>
      </c>
      <c r="AK79">
        <v>17</v>
      </c>
      <c r="AL79" t="s">
        <v>1308</v>
      </c>
      <c r="AM79" t="s">
        <v>1309</v>
      </c>
      <c r="AN79" t="s">
        <v>1310</v>
      </c>
      <c r="AO79" t="s">
        <v>1287</v>
      </c>
      <c r="AP79" t="s">
        <v>74</v>
      </c>
      <c r="AQ79" t="s">
        <v>74</v>
      </c>
      <c r="AR79" t="s">
        <v>1276</v>
      </c>
      <c r="AS79" t="s">
        <v>1289</v>
      </c>
      <c r="AT79" t="s">
        <v>1290</v>
      </c>
      <c r="AU79">
        <v>2003</v>
      </c>
      <c r="AV79">
        <v>3</v>
      </c>
      <c r="AW79">
        <v>3</v>
      </c>
      <c r="AX79" t="s">
        <v>74</v>
      </c>
      <c r="AY79" t="s">
        <v>74</v>
      </c>
      <c r="AZ79" t="s">
        <v>74</v>
      </c>
      <c r="BA79" t="s">
        <v>74</v>
      </c>
      <c r="BB79">
        <v>583</v>
      </c>
      <c r="BC79">
        <v>596</v>
      </c>
      <c r="BD79" t="s">
        <v>74</v>
      </c>
      <c r="BE79" t="s">
        <v>1311</v>
      </c>
      <c r="BF79" t="str">
        <f>HYPERLINK("http://dx.doi.org/10.1089/153110703322610672","http://dx.doi.org/10.1089/153110703322610672")</f>
        <v>http://dx.doi.org/10.1089/153110703322610672</v>
      </c>
      <c r="BG79" t="s">
        <v>74</v>
      </c>
      <c r="BH79" t="s">
        <v>74</v>
      </c>
      <c r="BI79">
        <v>14</v>
      </c>
      <c r="BJ79" t="s">
        <v>1292</v>
      </c>
      <c r="BK79" t="s">
        <v>854</v>
      </c>
      <c r="BL79" t="s">
        <v>1293</v>
      </c>
      <c r="BM79" t="s">
        <v>1294</v>
      </c>
      <c r="BN79">
        <v>14678667</v>
      </c>
      <c r="BO79" t="s">
        <v>74</v>
      </c>
      <c r="BP79" t="s">
        <v>74</v>
      </c>
      <c r="BQ79" t="s">
        <v>74</v>
      </c>
      <c r="BR79" t="s">
        <v>97</v>
      </c>
      <c r="BS79" t="s">
        <v>1312</v>
      </c>
      <c r="BT79" t="str">
        <f>HYPERLINK("https%3A%2F%2Fwww.webofscience.com%2Fwos%2Fwoscc%2Ffull-record%2FWOS:000187155600011","View Full Record in Web of Science")</f>
        <v>View Full Record in Web of Science</v>
      </c>
    </row>
    <row r="80" spans="1:72" x14ac:dyDescent="0.15">
      <c r="A80" t="s">
        <v>72</v>
      </c>
      <c r="B80" t="s">
        <v>1313</v>
      </c>
      <c r="C80" t="s">
        <v>74</v>
      </c>
      <c r="D80" t="s">
        <v>74</v>
      </c>
      <c r="E80" t="s">
        <v>74</v>
      </c>
      <c r="F80" t="s">
        <v>1314</v>
      </c>
      <c r="G80" t="s">
        <v>74</v>
      </c>
      <c r="H80" t="s">
        <v>74</v>
      </c>
      <c r="I80" t="s">
        <v>1315</v>
      </c>
      <c r="J80" t="s">
        <v>1316</v>
      </c>
      <c r="K80" t="s">
        <v>74</v>
      </c>
      <c r="L80" t="s">
        <v>74</v>
      </c>
      <c r="M80" t="s">
        <v>77</v>
      </c>
      <c r="N80" t="s">
        <v>78</v>
      </c>
      <c r="O80" t="s">
        <v>74</v>
      </c>
      <c r="P80" t="s">
        <v>74</v>
      </c>
      <c r="Q80" t="s">
        <v>74</v>
      </c>
      <c r="R80" t="s">
        <v>74</v>
      </c>
      <c r="S80" t="s">
        <v>74</v>
      </c>
      <c r="T80" t="s">
        <v>1317</v>
      </c>
      <c r="U80" t="s">
        <v>1318</v>
      </c>
      <c r="V80" t="s">
        <v>1319</v>
      </c>
      <c r="W80" t="s">
        <v>1320</v>
      </c>
      <c r="X80" t="s">
        <v>1321</v>
      </c>
      <c r="Y80" t="s">
        <v>1322</v>
      </c>
      <c r="Z80" t="s">
        <v>1323</v>
      </c>
      <c r="AA80" t="s">
        <v>74</v>
      </c>
      <c r="AB80" t="s">
        <v>1324</v>
      </c>
      <c r="AC80" t="s">
        <v>74</v>
      </c>
      <c r="AD80" t="s">
        <v>74</v>
      </c>
      <c r="AE80" t="s">
        <v>74</v>
      </c>
      <c r="AF80" t="s">
        <v>74</v>
      </c>
      <c r="AG80">
        <v>40</v>
      </c>
      <c r="AH80">
        <v>1</v>
      </c>
      <c r="AI80">
        <v>1</v>
      </c>
      <c r="AJ80">
        <v>0</v>
      </c>
      <c r="AK80">
        <v>2</v>
      </c>
      <c r="AL80" t="s">
        <v>1325</v>
      </c>
      <c r="AM80" t="s">
        <v>1326</v>
      </c>
      <c r="AN80" t="s">
        <v>1327</v>
      </c>
      <c r="AO80" t="s">
        <v>1328</v>
      </c>
      <c r="AP80" t="s">
        <v>1329</v>
      </c>
      <c r="AQ80" t="s">
        <v>74</v>
      </c>
      <c r="AR80" t="s">
        <v>1330</v>
      </c>
      <c r="AS80" t="s">
        <v>1331</v>
      </c>
      <c r="AT80" t="s">
        <v>1120</v>
      </c>
      <c r="AU80">
        <v>2003</v>
      </c>
      <c r="AV80">
        <v>324</v>
      </c>
      <c r="AW80" t="s">
        <v>74</v>
      </c>
      <c r="AX80" t="s">
        <v>74</v>
      </c>
      <c r="AY80">
        <v>1</v>
      </c>
      <c r="AZ80" t="s">
        <v>74</v>
      </c>
      <c r="BA80" t="s">
        <v>74</v>
      </c>
      <c r="BB80">
        <v>93</v>
      </c>
      <c r="BC80">
        <v>99</v>
      </c>
      <c r="BD80" t="s">
        <v>74</v>
      </c>
      <c r="BE80" t="s">
        <v>1332</v>
      </c>
      <c r="BF80" t="str">
        <f>HYPERLINK("http://dx.doi.org/10.1002/asna.200385109","http://dx.doi.org/10.1002/asna.200385109")</f>
        <v>http://dx.doi.org/10.1002/asna.200385109</v>
      </c>
      <c r="BG80" t="s">
        <v>74</v>
      </c>
      <c r="BH80" t="s">
        <v>74</v>
      </c>
      <c r="BI80">
        <v>7</v>
      </c>
      <c r="BJ80" t="s">
        <v>1333</v>
      </c>
      <c r="BK80" t="s">
        <v>94</v>
      </c>
      <c r="BL80" t="s">
        <v>1333</v>
      </c>
      <c r="BM80" t="s">
        <v>1334</v>
      </c>
      <c r="BN80" t="s">
        <v>74</v>
      </c>
      <c r="BO80" t="s">
        <v>74</v>
      </c>
      <c r="BP80" t="s">
        <v>74</v>
      </c>
      <c r="BQ80" t="s">
        <v>74</v>
      </c>
      <c r="BR80" t="s">
        <v>97</v>
      </c>
      <c r="BS80" t="s">
        <v>1335</v>
      </c>
      <c r="BT80" t="str">
        <f>HYPERLINK("https%3A%2F%2Fwww.webofscience.com%2Fwos%2Fwoscc%2Ffull-record%2FWOS:000208367500014","View Full Record in Web of Science")</f>
        <v>View Full Record in Web of Science</v>
      </c>
    </row>
    <row r="81" spans="1:72" x14ac:dyDescent="0.15">
      <c r="A81" t="s">
        <v>72</v>
      </c>
      <c r="B81" t="s">
        <v>1336</v>
      </c>
      <c r="C81" t="s">
        <v>74</v>
      </c>
      <c r="D81" t="s">
        <v>74</v>
      </c>
      <c r="E81" t="s">
        <v>74</v>
      </c>
      <c r="F81" t="s">
        <v>1336</v>
      </c>
      <c r="G81" t="s">
        <v>74</v>
      </c>
      <c r="H81" t="s">
        <v>74</v>
      </c>
      <c r="I81" t="s">
        <v>1337</v>
      </c>
      <c r="J81" t="s">
        <v>1338</v>
      </c>
      <c r="K81" t="s">
        <v>74</v>
      </c>
      <c r="L81" t="s">
        <v>74</v>
      </c>
      <c r="M81" t="s">
        <v>77</v>
      </c>
      <c r="N81" t="s">
        <v>78</v>
      </c>
      <c r="O81" t="s">
        <v>74</v>
      </c>
      <c r="P81" t="s">
        <v>74</v>
      </c>
      <c r="Q81" t="s">
        <v>74</v>
      </c>
      <c r="R81" t="s">
        <v>74</v>
      </c>
      <c r="S81" t="s">
        <v>74</v>
      </c>
      <c r="T81" t="s">
        <v>74</v>
      </c>
      <c r="U81" t="s">
        <v>1339</v>
      </c>
      <c r="V81" t="s">
        <v>1340</v>
      </c>
      <c r="W81" t="s">
        <v>1341</v>
      </c>
      <c r="X81" t="s">
        <v>1342</v>
      </c>
      <c r="Y81" t="s">
        <v>1343</v>
      </c>
      <c r="Z81" t="s">
        <v>74</v>
      </c>
      <c r="AA81" t="s">
        <v>74</v>
      </c>
      <c r="AB81" t="s">
        <v>74</v>
      </c>
      <c r="AC81" t="s">
        <v>74</v>
      </c>
      <c r="AD81" t="s">
        <v>74</v>
      </c>
      <c r="AE81" t="s">
        <v>74</v>
      </c>
      <c r="AF81" t="s">
        <v>74</v>
      </c>
      <c r="AG81">
        <v>29</v>
      </c>
      <c r="AH81">
        <v>3</v>
      </c>
      <c r="AI81">
        <v>3</v>
      </c>
      <c r="AJ81">
        <v>0</v>
      </c>
      <c r="AK81">
        <v>1</v>
      </c>
      <c r="AL81" t="s">
        <v>1344</v>
      </c>
      <c r="AM81" t="s">
        <v>1345</v>
      </c>
      <c r="AN81" t="s">
        <v>1346</v>
      </c>
      <c r="AO81" t="s">
        <v>1347</v>
      </c>
      <c r="AP81" t="s">
        <v>74</v>
      </c>
      <c r="AQ81" t="s">
        <v>74</v>
      </c>
      <c r="AR81" t="s">
        <v>1348</v>
      </c>
      <c r="AS81" t="s">
        <v>1349</v>
      </c>
      <c r="AT81" t="s">
        <v>1120</v>
      </c>
      <c r="AU81">
        <v>2003</v>
      </c>
      <c r="AV81">
        <v>52</v>
      </c>
      <c r="AW81">
        <v>3</v>
      </c>
      <c r="AX81" t="s">
        <v>74</v>
      </c>
      <c r="AY81" t="s">
        <v>74</v>
      </c>
      <c r="AZ81" t="s">
        <v>74</v>
      </c>
      <c r="BA81" t="s">
        <v>74</v>
      </c>
      <c r="BB81">
        <v>157</v>
      </c>
      <c r="BC81">
        <v>169</v>
      </c>
      <c r="BD81" t="s">
        <v>74</v>
      </c>
      <c r="BE81" t="s">
        <v>74</v>
      </c>
      <c r="BF81" t="s">
        <v>74</v>
      </c>
      <c r="BG81" t="s">
        <v>74</v>
      </c>
      <c r="BH81" t="s">
        <v>74</v>
      </c>
      <c r="BI81">
        <v>13</v>
      </c>
      <c r="BJ81" t="s">
        <v>93</v>
      </c>
      <c r="BK81" t="s">
        <v>94</v>
      </c>
      <c r="BL81" t="s">
        <v>93</v>
      </c>
      <c r="BM81" t="s">
        <v>1350</v>
      </c>
      <c r="BN81" t="s">
        <v>74</v>
      </c>
      <c r="BO81" t="s">
        <v>74</v>
      </c>
      <c r="BP81" t="s">
        <v>74</v>
      </c>
      <c r="BQ81" t="s">
        <v>74</v>
      </c>
      <c r="BR81" t="s">
        <v>97</v>
      </c>
      <c r="BS81" t="s">
        <v>1351</v>
      </c>
      <c r="BT81" t="str">
        <f>HYPERLINK("https%3A%2F%2Fwww.webofscience.com%2Fwos%2Fwoscc%2Ffull-record%2FWOS:000186882100002","View Full Record in Web of Science")</f>
        <v>View Full Record in Web of Science</v>
      </c>
    </row>
    <row r="82" spans="1:72" x14ac:dyDescent="0.15">
      <c r="A82" t="s">
        <v>72</v>
      </c>
      <c r="B82" t="s">
        <v>1352</v>
      </c>
      <c r="C82" t="s">
        <v>74</v>
      </c>
      <c r="D82" t="s">
        <v>74</v>
      </c>
      <c r="E82" t="s">
        <v>74</v>
      </c>
      <c r="F82" t="s">
        <v>1352</v>
      </c>
      <c r="G82" t="s">
        <v>74</v>
      </c>
      <c r="H82" t="s">
        <v>74</v>
      </c>
      <c r="I82" t="s">
        <v>1353</v>
      </c>
      <c r="J82" t="s">
        <v>1338</v>
      </c>
      <c r="K82" t="s">
        <v>74</v>
      </c>
      <c r="L82" t="s">
        <v>74</v>
      </c>
      <c r="M82" t="s">
        <v>77</v>
      </c>
      <c r="N82" t="s">
        <v>78</v>
      </c>
      <c r="O82" t="s">
        <v>74</v>
      </c>
      <c r="P82" t="s">
        <v>74</v>
      </c>
      <c r="Q82" t="s">
        <v>74</v>
      </c>
      <c r="R82" t="s">
        <v>74</v>
      </c>
      <c r="S82" t="s">
        <v>74</v>
      </c>
      <c r="T82" t="s">
        <v>74</v>
      </c>
      <c r="U82" t="s">
        <v>1354</v>
      </c>
      <c r="V82" t="s">
        <v>1355</v>
      </c>
      <c r="W82" t="s">
        <v>1356</v>
      </c>
      <c r="X82" t="s">
        <v>1357</v>
      </c>
      <c r="Y82" t="s">
        <v>1358</v>
      </c>
      <c r="Z82" t="s">
        <v>1359</v>
      </c>
      <c r="AA82" t="s">
        <v>74</v>
      </c>
      <c r="AB82" t="s">
        <v>74</v>
      </c>
      <c r="AC82" t="s">
        <v>74</v>
      </c>
      <c r="AD82" t="s">
        <v>74</v>
      </c>
      <c r="AE82" t="s">
        <v>74</v>
      </c>
      <c r="AF82" t="s">
        <v>74</v>
      </c>
      <c r="AG82">
        <v>35</v>
      </c>
      <c r="AH82">
        <v>6</v>
      </c>
      <c r="AI82">
        <v>6</v>
      </c>
      <c r="AJ82">
        <v>0</v>
      </c>
      <c r="AK82">
        <v>2</v>
      </c>
      <c r="AL82" t="s">
        <v>1360</v>
      </c>
      <c r="AM82" t="s">
        <v>1361</v>
      </c>
      <c r="AN82" t="s">
        <v>1362</v>
      </c>
      <c r="AO82" t="s">
        <v>1347</v>
      </c>
      <c r="AP82" t="s">
        <v>74</v>
      </c>
      <c r="AQ82" t="s">
        <v>74</v>
      </c>
      <c r="AR82" t="s">
        <v>1348</v>
      </c>
      <c r="AS82" t="s">
        <v>1349</v>
      </c>
      <c r="AT82" t="s">
        <v>1120</v>
      </c>
      <c r="AU82">
        <v>2003</v>
      </c>
      <c r="AV82">
        <v>52</v>
      </c>
      <c r="AW82">
        <v>3</v>
      </c>
      <c r="AX82" t="s">
        <v>74</v>
      </c>
      <c r="AY82" t="s">
        <v>74</v>
      </c>
      <c r="AZ82" t="s">
        <v>74</v>
      </c>
      <c r="BA82" t="s">
        <v>74</v>
      </c>
      <c r="BB82">
        <v>213</v>
      </c>
      <c r="BC82">
        <v>226</v>
      </c>
      <c r="BD82" t="s">
        <v>74</v>
      </c>
      <c r="BE82" t="s">
        <v>74</v>
      </c>
      <c r="BF82" t="s">
        <v>74</v>
      </c>
      <c r="BG82" t="s">
        <v>74</v>
      </c>
      <c r="BH82" t="s">
        <v>74</v>
      </c>
      <c r="BI82">
        <v>14</v>
      </c>
      <c r="BJ82" t="s">
        <v>93</v>
      </c>
      <c r="BK82" t="s">
        <v>94</v>
      </c>
      <c r="BL82" t="s">
        <v>93</v>
      </c>
      <c r="BM82" t="s">
        <v>1350</v>
      </c>
      <c r="BN82" t="s">
        <v>74</v>
      </c>
      <c r="BO82" t="s">
        <v>74</v>
      </c>
      <c r="BP82" t="s">
        <v>74</v>
      </c>
      <c r="BQ82" t="s">
        <v>74</v>
      </c>
      <c r="BR82" t="s">
        <v>97</v>
      </c>
      <c r="BS82" t="s">
        <v>1363</v>
      </c>
      <c r="BT82" t="str">
        <f>HYPERLINK("https%3A%2F%2Fwww.webofscience.com%2Fwos%2Fwoscc%2Ffull-record%2FWOS:000186882100006","View Full Record in Web of Science")</f>
        <v>View Full Record in Web of Science</v>
      </c>
    </row>
    <row r="83" spans="1:72" x14ac:dyDescent="0.15">
      <c r="A83" t="s">
        <v>72</v>
      </c>
      <c r="B83" t="s">
        <v>1364</v>
      </c>
      <c r="C83" t="s">
        <v>74</v>
      </c>
      <c r="D83" t="s">
        <v>74</v>
      </c>
      <c r="E83" t="s">
        <v>74</v>
      </c>
      <c r="F83" t="s">
        <v>1364</v>
      </c>
      <c r="G83" t="s">
        <v>74</v>
      </c>
      <c r="H83" t="s">
        <v>74</v>
      </c>
      <c r="I83" t="s">
        <v>1365</v>
      </c>
      <c r="J83" t="s">
        <v>1366</v>
      </c>
      <c r="K83" t="s">
        <v>74</v>
      </c>
      <c r="L83" t="s">
        <v>74</v>
      </c>
      <c r="M83" t="s">
        <v>77</v>
      </c>
      <c r="N83" t="s">
        <v>78</v>
      </c>
      <c r="O83" t="s">
        <v>74</v>
      </c>
      <c r="P83" t="s">
        <v>74</v>
      </c>
      <c r="Q83" t="s">
        <v>74</v>
      </c>
      <c r="R83" t="s">
        <v>74</v>
      </c>
      <c r="S83" t="s">
        <v>74</v>
      </c>
      <c r="T83" t="s">
        <v>74</v>
      </c>
      <c r="U83" t="s">
        <v>1367</v>
      </c>
      <c r="V83" t="s">
        <v>1368</v>
      </c>
      <c r="W83" t="s">
        <v>1369</v>
      </c>
      <c r="X83" t="s">
        <v>1370</v>
      </c>
      <c r="Y83" t="s">
        <v>1371</v>
      </c>
      <c r="Z83" t="s">
        <v>1372</v>
      </c>
      <c r="AA83" t="s">
        <v>1373</v>
      </c>
      <c r="AB83" t="s">
        <v>1374</v>
      </c>
      <c r="AC83" t="s">
        <v>74</v>
      </c>
      <c r="AD83" t="s">
        <v>74</v>
      </c>
      <c r="AE83" t="s">
        <v>74</v>
      </c>
      <c r="AF83" t="s">
        <v>74</v>
      </c>
      <c r="AG83">
        <v>91</v>
      </c>
      <c r="AH83">
        <v>85</v>
      </c>
      <c r="AI83">
        <v>97</v>
      </c>
      <c r="AJ83">
        <v>0</v>
      </c>
      <c r="AK83">
        <v>22</v>
      </c>
      <c r="AL83" t="s">
        <v>250</v>
      </c>
      <c r="AM83" t="s">
        <v>251</v>
      </c>
      <c r="AN83" t="s">
        <v>252</v>
      </c>
      <c r="AO83" t="s">
        <v>1375</v>
      </c>
      <c r="AP83" t="s">
        <v>1376</v>
      </c>
      <c r="AQ83" t="s">
        <v>74</v>
      </c>
      <c r="AR83" t="s">
        <v>1377</v>
      </c>
      <c r="AS83" t="s">
        <v>1378</v>
      </c>
      <c r="AT83" t="s">
        <v>1120</v>
      </c>
      <c r="AU83">
        <v>2003</v>
      </c>
      <c r="AV83">
        <v>15</v>
      </c>
      <c r="AW83">
        <v>3</v>
      </c>
      <c r="AX83" t="s">
        <v>74</v>
      </c>
      <c r="AY83" t="s">
        <v>74</v>
      </c>
      <c r="AZ83" t="s">
        <v>74</v>
      </c>
      <c r="BA83" t="s">
        <v>74</v>
      </c>
      <c r="BB83">
        <v>339</v>
      </c>
      <c r="BC83">
        <v>363</v>
      </c>
      <c r="BD83" t="s">
        <v>74</v>
      </c>
      <c r="BE83" t="s">
        <v>1379</v>
      </c>
      <c r="BF83" t="str">
        <f>HYPERLINK("http://dx.doi.org/10.1046/j.1365-2117.2003.00210.x","http://dx.doi.org/10.1046/j.1365-2117.2003.00210.x")</f>
        <v>http://dx.doi.org/10.1046/j.1365-2117.2003.00210.x</v>
      </c>
      <c r="BG83" t="s">
        <v>74</v>
      </c>
      <c r="BH83" t="s">
        <v>74</v>
      </c>
      <c r="BI83">
        <v>25</v>
      </c>
      <c r="BJ83" t="s">
        <v>548</v>
      </c>
      <c r="BK83" t="s">
        <v>94</v>
      </c>
      <c r="BL83" t="s">
        <v>549</v>
      </c>
      <c r="BM83" t="s">
        <v>1380</v>
      </c>
      <c r="BN83" t="s">
        <v>74</v>
      </c>
      <c r="BO83" t="s">
        <v>74</v>
      </c>
      <c r="BP83" t="s">
        <v>74</v>
      </c>
      <c r="BQ83" t="s">
        <v>74</v>
      </c>
      <c r="BR83" t="s">
        <v>97</v>
      </c>
      <c r="BS83" t="s">
        <v>1381</v>
      </c>
      <c r="BT83" t="str">
        <f>HYPERLINK("https%3A%2F%2Fwww.webofscience.com%2Fwos%2Fwoscc%2Ffull-record%2FWOS:000185108800004","View Full Record in Web of Science")</f>
        <v>View Full Record in Web of Science</v>
      </c>
    </row>
    <row r="84" spans="1:72" x14ac:dyDescent="0.15">
      <c r="A84" t="s">
        <v>72</v>
      </c>
      <c r="B84" t="s">
        <v>1382</v>
      </c>
      <c r="C84" t="s">
        <v>74</v>
      </c>
      <c r="D84" t="s">
        <v>74</v>
      </c>
      <c r="E84" t="s">
        <v>74</v>
      </c>
      <c r="F84" t="s">
        <v>1382</v>
      </c>
      <c r="G84" t="s">
        <v>74</v>
      </c>
      <c r="H84" t="s">
        <v>74</v>
      </c>
      <c r="I84" t="s">
        <v>1383</v>
      </c>
      <c r="J84" t="s">
        <v>1384</v>
      </c>
      <c r="K84" t="s">
        <v>74</v>
      </c>
      <c r="L84" t="s">
        <v>74</v>
      </c>
      <c r="M84" t="s">
        <v>77</v>
      </c>
      <c r="N84" t="s">
        <v>556</v>
      </c>
      <c r="O84" t="s">
        <v>74</v>
      </c>
      <c r="P84" t="s">
        <v>74</v>
      </c>
      <c r="Q84" t="s">
        <v>74</v>
      </c>
      <c r="R84" t="s">
        <v>74</v>
      </c>
      <c r="S84" t="s">
        <v>74</v>
      </c>
      <c r="T84" t="s">
        <v>1385</v>
      </c>
      <c r="U84" t="s">
        <v>1386</v>
      </c>
      <c r="V84" t="s">
        <v>1387</v>
      </c>
      <c r="W84" t="s">
        <v>1388</v>
      </c>
      <c r="X84" t="s">
        <v>1389</v>
      </c>
      <c r="Y84" t="s">
        <v>1390</v>
      </c>
      <c r="Z84" t="s">
        <v>1391</v>
      </c>
      <c r="AA84" t="s">
        <v>1392</v>
      </c>
      <c r="AB84" t="s">
        <v>1393</v>
      </c>
      <c r="AC84" t="s">
        <v>74</v>
      </c>
      <c r="AD84" t="s">
        <v>74</v>
      </c>
      <c r="AE84" t="s">
        <v>74</v>
      </c>
      <c r="AF84" t="s">
        <v>74</v>
      </c>
      <c r="AG84">
        <v>125</v>
      </c>
      <c r="AH84">
        <v>18</v>
      </c>
      <c r="AI84">
        <v>23</v>
      </c>
      <c r="AJ84">
        <v>0</v>
      </c>
      <c r="AK84">
        <v>28</v>
      </c>
      <c r="AL84" t="s">
        <v>566</v>
      </c>
      <c r="AM84" t="s">
        <v>170</v>
      </c>
      <c r="AN84" t="s">
        <v>567</v>
      </c>
      <c r="AO84" t="s">
        <v>1394</v>
      </c>
      <c r="AP84" t="s">
        <v>1395</v>
      </c>
      <c r="AQ84" t="s">
        <v>74</v>
      </c>
      <c r="AR84" t="s">
        <v>1396</v>
      </c>
      <c r="AS84" t="s">
        <v>1397</v>
      </c>
      <c r="AT84" t="s">
        <v>1120</v>
      </c>
      <c r="AU84">
        <v>2003</v>
      </c>
      <c r="AV84">
        <v>113</v>
      </c>
      <c r="AW84">
        <v>1</v>
      </c>
      <c r="AX84" t="s">
        <v>74</v>
      </c>
      <c r="AY84" t="s">
        <v>74</v>
      </c>
      <c r="AZ84" t="s">
        <v>74</v>
      </c>
      <c r="BA84" t="s">
        <v>74</v>
      </c>
      <c r="BB84">
        <v>75</v>
      </c>
      <c r="BC84">
        <v>87</v>
      </c>
      <c r="BD84" t="s">
        <v>74</v>
      </c>
      <c r="BE84" t="s">
        <v>1398</v>
      </c>
      <c r="BF84" t="str">
        <f>HYPERLINK("http://dx.doi.org/10.1016/S0006-3207(02)00351-8","http://dx.doi.org/10.1016/S0006-3207(02)00351-8")</f>
        <v>http://dx.doi.org/10.1016/S0006-3207(02)00351-8</v>
      </c>
      <c r="BG84" t="s">
        <v>74</v>
      </c>
      <c r="BH84" t="s">
        <v>74</v>
      </c>
      <c r="BI84">
        <v>13</v>
      </c>
      <c r="BJ84" t="s">
        <v>1399</v>
      </c>
      <c r="BK84" t="s">
        <v>94</v>
      </c>
      <c r="BL84" t="s">
        <v>330</v>
      </c>
      <c r="BM84" t="s">
        <v>1400</v>
      </c>
      <c r="BN84" t="s">
        <v>74</v>
      </c>
      <c r="BO84" t="s">
        <v>74</v>
      </c>
      <c r="BP84" t="s">
        <v>74</v>
      </c>
      <c r="BQ84" t="s">
        <v>74</v>
      </c>
      <c r="BR84" t="s">
        <v>97</v>
      </c>
      <c r="BS84" t="s">
        <v>1401</v>
      </c>
      <c r="BT84" t="str">
        <f>HYPERLINK("https%3A%2F%2Fwww.webofscience.com%2Fwos%2Fwoscc%2Ffull-record%2FWOS:000183591000008","View Full Record in Web of Science")</f>
        <v>View Full Record in Web of Science</v>
      </c>
    </row>
    <row r="85" spans="1:72" x14ac:dyDescent="0.15">
      <c r="A85" t="s">
        <v>72</v>
      </c>
      <c r="B85" t="s">
        <v>1402</v>
      </c>
      <c r="C85" t="s">
        <v>74</v>
      </c>
      <c r="D85" t="s">
        <v>74</v>
      </c>
      <c r="E85" t="s">
        <v>74</v>
      </c>
      <c r="F85" t="s">
        <v>1402</v>
      </c>
      <c r="G85" t="s">
        <v>74</v>
      </c>
      <c r="H85" t="s">
        <v>74</v>
      </c>
      <c r="I85" t="s">
        <v>1403</v>
      </c>
      <c r="J85" t="s">
        <v>1404</v>
      </c>
      <c r="K85" t="s">
        <v>74</v>
      </c>
      <c r="L85" t="s">
        <v>74</v>
      </c>
      <c r="M85" t="s">
        <v>77</v>
      </c>
      <c r="N85" t="s">
        <v>78</v>
      </c>
      <c r="O85" t="s">
        <v>74</v>
      </c>
      <c r="P85" t="s">
        <v>74</v>
      </c>
      <c r="Q85" t="s">
        <v>74</v>
      </c>
      <c r="R85" t="s">
        <v>74</v>
      </c>
      <c r="S85" t="s">
        <v>74</v>
      </c>
      <c r="T85" t="s">
        <v>1405</v>
      </c>
      <c r="U85" t="s">
        <v>1406</v>
      </c>
      <c r="V85" t="s">
        <v>1407</v>
      </c>
      <c r="W85" t="s">
        <v>1408</v>
      </c>
      <c r="X85" t="s">
        <v>1409</v>
      </c>
      <c r="Y85" t="s">
        <v>1410</v>
      </c>
      <c r="Z85" t="s">
        <v>74</v>
      </c>
      <c r="AA85" t="s">
        <v>1411</v>
      </c>
      <c r="AB85" t="s">
        <v>1412</v>
      </c>
      <c r="AC85" t="s">
        <v>74</v>
      </c>
      <c r="AD85" t="s">
        <v>74</v>
      </c>
      <c r="AE85" t="s">
        <v>74</v>
      </c>
      <c r="AF85" t="s">
        <v>74</v>
      </c>
      <c r="AG85">
        <v>15</v>
      </c>
      <c r="AH85">
        <v>17</v>
      </c>
      <c r="AI85">
        <v>20</v>
      </c>
      <c r="AJ85">
        <v>1</v>
      </c>
      <c r="AK85">
        <v>5</v>
      </c>
      <c r="AL85" t="s">
        <v>289</v>
      </c>
      <c r="AM85" t="s">
        <v>170</v>
      </c>
      <c r="AN85" t="s">
        <v>290</v>
      </c>
      <c r="AO85" t="s">
        <v>1413</v>
      </c>
      <c r="AP85" t="s">
        <v>74</v>
      </c>
      <c r="AQ85" t="s">
        <v>74</v>
      </c>
      <c r="AR85" t="s">
        <v>1404</v>
      </c>
      <c r="AS85" t="s">
        <v>1414</v>
      </c>
      <c r="AT85" t="s">
        <v>1120</v>
      </c>
      <c r="AU85">
        <v>2003</v>
      </c>
      <c r="AV85">
        <v>59</v>
      </c>
      <c r="AW85">
        <v>3</v>
      </c>
      <c r="AX85" t="s">
        <v>74</v>
      </c>
      <c r="AY85" t="s">
        <v>74</v>
      </c>
      <c r="AZ85" t="s">
        <v>74</v>
      </c>
      <c r="BA85" t="s">
        <v>74</v>
      </c>
      <c r="BB85">
        <v>512</v>
      </c>
      <c r="BC85">
        <v>520</v>
      </c>
      <c r="BD85" t="s">
        <v>74</v>
      </c>
      <c r="BE85" t="s">
        <v>1415</v>
      </c>
      <c r="BF85" t="str">
        <f>HYPERLINK("http://dx.doi.org/10.1111/1541-0420.00061","http://dx.doi.org/10.1111/1541-0420.00061")</f>
        <v>http://dx.doi.org/10.1111/1541-0420.00061</v>
      </c>
      <c r="BG85" t="s">
        <v>74</v>
      </c>
      <c r="BH85" t="s">
        <v>74</v>
      </c>
      <c r="BI85">
        <v>9</v>
      </c>
      <c r="BJ85" t="s">
        <v>1416</v>
      </c>
      <c r="BK85" t="s">
        <v>94</v>
      </c>
      <c r="BL85" t="s">
        <v>1417</v>
      </c>
      <c r="BM85" t="s">
        <v>1418</v>
      </c>
      <c r="BN85">
        <v>14601752</v>
      </c>
      <c r="BO85" t="s">
        <v>74</v>
      </c>
      <c r="BP85" t="s">
        <v>74</v>
      </c>
      <c r="BQ85" t="s">
        <v>74</v>
      </c>
      <c r="BR85" t="s">
        <v>97</v>
      </c>
      <c r="BS85" t="s">
        <v>1419</v>
      </c>
      <c r="BT85" t="str">
        <f>HYPERLINK("https%3A%2F%2Fwww.webofscience.com%2Fwos%2Fwoscc%2Ffull-record%2FWOS:000185220100006","View Full Record in Web of Science")</f>
        <v>View Full Record in Web of Science</v>
      </c>
    </row>
    <row r="86" spans="1:72" x14ac:dyDescent="0.15">
      <c r="A86" t="s">
        <v>72</v>
      </c>
      <c r="B86" t="s">
        <v>1420</v>
      </c>
      <c r="C86" t="s">
        <v>74</v>
      </c>
      <c r="D86" t="s">
        <v>74</v>
      </c>
      <c r="E86" t="s">
        <v>74</v>
      </c>
      <c r="F86" t="s">
        <v>1420</v>
      </c>
      <c r="G86" t="s">
        <v>74</v>
      </c>
      <c r="H86" t="s">
        <v>74</v>
      </c>
      <c r="I86" t="s">
        <v>1421</v>
      </c>
      <c r="J86" t="s">
        <v>1422</v>
      </c>
      <c r="K86" t="s">
        <v>74</v>
      </c>
      <c r="L86" t="s">
        <v>74</v>
      </c>
      <c r="M86" t="s">
        <v>77</v>
      </c>
      <c r="N86" t="s">
        <v>78</v>
      </c>
      <c r="O86" t="s">
        <v>74</v>
      </c>
      <c r="P86" t="s">
        <v>74</v>
      </c>
      <c r="Q86" t="s">
        <v>74</v>
      </c>
      <c r="R86" t="s">
        <v>74</v>
      </c>
      <c r="S86" t="s">
        <v>74</v>
      </c>
      <c r="T86" t="s">
        <v>74</v>
      </c>
      <c r="U86" t="s">
        <v>1423</v>
      </c>
      <c r="V86" t="s">
        <v>1424</v>
      </c>
      <c r="W86" t="s">
        <v>1425</v>
      </c>
      <c r="X86" t="s">
        <v>1426</v>
      </c>
      <c r="Y86" t="s">
        <v>1427</v>
      </c>
      <c r="Z86" t="s">
        <v>1428</v>
      </c>
      <c r="AA86" t="s">
        <v>74</v>
      </c>
      <c r="AB86" t="s">
        <v>74</v>
      </c>
      <c r="AC86" t="s">
        <v>74</v>
      </c>
      <c r="AD86" t="s">
        <v>74</v>
      </c>
      <c r="AE86" t="s">
        <v>74</v>
      </c>
      <c r="AF86" t="s">
        <v>74</v>
      </c>
      <c r="AG86">
        <v>44</v>
      </c>
      <c r="AH86">
        <v>15</v>
      </c>
      <c r="AI86">
        <v>15</v>
      </c>
      <c r="AJ86">
        <v>0</v>
      </c>
      <c r="AK86">
        <v>3</v>
      </c>
      <c r="AL86" t="s">
        <v>250</v>
      </c>
      <c r="AM86" t="s">
        <v>251</v>
      </c>
      <c r="AN86" t="s">
        <v>252</v>
      </c>
      <c r="AO86" t="s">
        <v>1429</v>
      </c>
      <c r="AP86" t="s">
        <v>1430</v>
      </c>
      <c r="AQ86" t="s">
        <v>74</v>
      </c>
      <c r="AR86" t="s">
        <v>1422</v>
      </c>
      <c r="AS86" t="s">
        <v>1431</v>
      </c>
      <c r="AT86" t="s">
        <v>1120</v>
      </c>
      <c r="AU86">
        <v>2003</v>
      </c>
      <c r="AV86">
        <v>32</v>
      </c>
      <c r="AW86">
        <v>3</v>
      </c>
      <c r="AX86" t="s">
        <v>74</v>
      </c>
      <c r="AY86" t="s">
        <v>74</v>
      </c>
      <c r="AZ86" t="s">
        <v>74</v>
      </c>
      <c r="BA86" t="s">
        <v>74</v>
      </c>
      <c r="BB86">
        <v>462</v>
      </c>
      <c r="BC86">
        <v>475</v>
      </c>
      <c r="BD86" t="s">
        <v>74</v>
      </c>
      <c r="BE86" t="s">
        <v>1432</v>
      </c>
      <c r="BF86" t="str">
        <f>HYPERLINK("http://dx.doi.org/10.1080/03009480310003360","http://dx.doi.org/10.1080/03009480310003360")</f>
        <v>http://dx.doi.org/10.1080/03009480310003360</v>
      </c>
      <c r="BG86" t="s">
        <v>74</v>
      </c>
      <c r="BH86" t="s">
        <v>74</v>
      </c>
      <c r="BI86">
        <v>14</v>
      </c>
      <c r="BJ86" t="s">
        <v>1433</v>
      </c>
      <c r="BK86" t="s">
        <v>94</v>
      </c>
      <c r="BL86" t="s">
        <v>1434</v>
      </c>
      <c r="BM86" t="s">
        <v>1435</v>
      </c>
      <c r="BN86" t="s">
        <v>74</v>
      </c>
      <c r="BO86" t="s">
        <v>74</v>
      </c>
      <c r="BP86" t="s">
        <v>74</v>
      </c>
      <c r="BQ86" t="s">
        <v>74</v>
      </c>
      <c r="BR86" t="s">
        <v>97</v>
      </c>
      <c r="BS86" t="s">
        <v>1436</v>
      </c>
      <c r="BT86" t="str">
        <f>HYPERLINK("https%3A%2F%2Fwww.webofscience.com%2Fwos%2Fwoscc%2Ffull-record%2FWOS:000184456100002","View Full Record in Web of Science")</f>
        <v>View Full Record in Web of Science</v>
      </c>
    </row>
    <row r="87" spans="1:72" x14ac:dyDescent="0.15">
      <c r="A87" t="s">
        <v>72</v>
      </c>
      <c r="B87" t="s">
        <v>1437</v>
      </c>
      <c r="C87" t="s">
        <v>74</v>
      </c>
      <c r="D87" t="s">
        <v>74</v>
      </c>
      <c r="E87" t="s">
        <v>74</v>
      </c>
      <c r="F87" t="s">
        <v>1437</v>
      </c>
      <c r="G87" t="s">
        <v>74</v>
      </c>
      <c r="H87" t="s">
        <v>74</v>
      </c>
      <c r="I87" t="s">
        <v>1438</v>
      </c>
      <c r="J87" t="s">
        <v>1439</v>
      </c>
      <c r="K87" t="s">
        <v>74</v>
      </c>
      <c r="L87" t="s">
        <v>74</v>
      </c>
      <c r="M87" t="s">
        <v>77</v>
      </c>
      <c r="N87" t="s">
        <v>556</v>
      </c>
      <c r="O87" t="s">
        <v>74</v>
      </c>
      <c r="P87" t="s">
        <v>74</v>
      </c>
      <c r="Q87" t="s">
        <v>74</v>
      </c>
      <c r="R87" t="s">
        <v>74</v>
      </c>
      <c r="S87" t="s">
        <v>74</v>
      </c>
      <c r="T87" t="s">
        <v>74</v>
      </c>
      <c r="U87" t="s">
        <v>1440</v>
      </c>
      <c r="V87" t="s">
        <v>74</v>
      </c>
      <c r="W87" t="s">
        <v>1441</v>
      </c>
      <c r="X87" t="s">
        <v>1442</v>
      </c>
      <c r="Y87" t="s">
        <v>1443</v>
      </c>
      <c r="Z87" t="s">
        <v>74</v>
      </c>
      <c r="AA87" t="s">
        <v>1444</v>
      </c>
      <c r="AB87" t="s">
        <v>74</v>
      </c>
      <c r="AC87" t="s">
        <v>74</v>
      </c>
      <c r="AD87" t="s">
        <v>74</v>
      </c>
      <c r="AE87" t="s">
        <v>74</v>
      </c>
      <c r="AF87" t="s">
        <v>74</v>
      </c>
      <c r="AG87">
        <v>198</v>
      </c>
      <c r="AH87">
        <v>383</v>
      </c>
      <c r="AI87">
        <v>463</v>
      </c>
      <c r="AJ87">
        <v>16</v>
      </c>
      <c r="AK87">
        <v>246</v>
      </c>
      <c r="AL87" t="s">
        <v>1445</v>
      </c>
      <c r="AM87" t="s">
        <v>1446</v>
      </c>
      <c r="AN87" t="s">
        <v>1447</v>
      </c>
      <c r="AO87" t="s">
        <v>1448</v>
      </c>
      <c r="AP87" t="s">
        <v>74</v>
      </c>
      <c r="AQ87" t="s">
        <v>74</v>
      </c>
      <c r="AR87" t="s">
        <v>1439</v>
      </c>
      <c r="AS87" t="s">
        <v>1449</v>
      </c>
      <c r="AT87" t="s">
        <v>1290</v>
      </c>
      <c r="AU87">
        <v>2003</v>
      </c>
      <c r="AV87">
        <v>106</v>
      </c>
      <c r="AW87">
        <v>3</v>
      </c>
      <c r="AX87" t="s">
        <v>74</v>
      </c>
      <c r="AY87" t="s">
        <v>74</v>
      </c>
      <c r="AZ87" t="s">
        <v>74</v>
      </c>
      <c r="BA87" t="s">
        <v>74</v>
      </c>
      <c r="BB87">
        <v>395</v>
      </c>
      <c r="BC87">
        <v>409</v>
      </c>
      <c r="BD87" t="s">
        <v>74</v>
      </c>
      <c r="BE87" t="s">
        <v>1450</v>
      </c>
      <c r="BF87" t="str">
        <f>HYPERLINK("http://dx.doi.org/10.1639/05","http://dx.doi.org/10.1639/05")</f>
        <v>http://dx.doi.org/10.1639/05</v>
      </c>
      <c r="BG87" t="s">
        <v>74</v>
      </c>
      <c r="BH87" t="s">
        <v>74</v>
      </c>
      <c r="BI87">
        <v>15</v>
      </c>
      <c r="BJ87" t="s">
        <v>276</v>
      </c>
      <c r="BK87" t="s">
        <v>94</v>
      </c>
      <c r="BL87" t="s">
        <v>276</v>
      </c>
      <c r="BM87" t="s">
        <v>1451</v>
      </c>
      <c r="BN87" t="s">
        <v>74</v>
      </c>
      <c r="BO87" t="s">
        <v>74</v>
      </c>
      <c r="BP87" t="s">
        <v>74</v>
      </c>
      <c r="BQ87" t="s">
        <v>74</v>
      </c>
      <c r="BR87" t="s">
        <v>97</v>
      </c>
      <c r="BS87" t="s">
        <v>1452</v>
      </c>
      <c r="BT87" t="str">
        <f>HYPERLINK("https%3A%2F%2Fwww.webofscience.com%2Fwos%2Fwoscc%2Ffull-record%2FWOS:000185192400005","View Full Record in Web of Science")</f>
        <v>View Full Record in Web of Science</v>
      </c>
    </row>
    <row r="88" spans="1:72" x14ac:dyDescent="0.15">
      <c r="A88" t="s">
        <v>72</v>
      </c>
      <c r="B88" t="s">
        <v>1453</v>
      </c>
      <c r="C88" t="s">
        <v>74</v>
      </c>
      <c r="D88" t="s">
        <v>74</v>
      </c>
      <c r="E88" t="s">
        <v>74</v>
      </c>
      <c r="F88" t="s">
        <v>1453</v>
      </c>
      <c r="G88" t="s">
        <v>74</v>
      </c>
      <c r="H88" t="s">
        <v>74</v>
      </c>
      <c r="I88" t="s">
        <v>1454</v>
      </c>
      <c r="J88" t="s">
        <v>1455</v>
      </c>
      <c r="K88" t="s">
        <v>74</v>
      </c>
      <c r="L88" t="s">
        <v>74</v>
      </c>
      <c r="M88" t="s">
        <v>77</v>
      </c>
      <c r="N88" t="s">
        <v>78</v>
      </c>
      <c r="O88" t="s">
        <v>74</v>
      </c>
      <c r="P88" t="s">
        <v>74</v>
      </c>
      <c r="Q88" t="s">
        <v>74</v>
      </c>
      <c r="R88" t="s">
        <v>74</v>
      </c>
      <c r="S88" t="s">
        <v>74</v>
      </c>
      <c r="T88" t="s">
        <v>74</v>
      </c>
      <c r="U88" t="s">
        <v>1456</v>
      </c>
      <c r="V88" t="s">
        <v>1457</v>
      </c>
      <c r="W88" t="s">
        <v>1458</v>
      </c>
      <c r="X88" t="s">
        <v>1459</v>
      </c>
      <c r="Y88" t="s">
        <v>1460</v>
      </c>
      <c r="Z88" t="s">
        <v>1461</v>
      </c>
      <c r="AA88" t="s">
        <v>74</v>
      </c>
      <c r="AB88" t="s">
        <v>74</v>
      </c>
      <c r="AC88" t="s">
        <v>74</v>
      </c>
      <c r="AD88" t="s">
        <v>74</v>
      </c>
      <c r="AE88" t="s">
        <v>74</v>
      </c>
      <c r="AF88" t="s">
        <v>74</v>
      </c>
      <c r="AG88">
        <v>40</v>
      </c>
      <c r="AH88">
        <v>19</v>
      </c>
      <c r="AI88">
        <v>21</v>
      </c>
      <c r="AJ88">
        <v>0</v>
      </c>
      <c r="AK88">
        <v>4</v>
      </c>
      <c r="AL88" t="s">
        <v>1462</v>
      </c>
      <c r="AM88" t="s">
        <v>1463</v>
      </c>
      <c r="AN88" t="s">
        <v>1464</v>
      </c>
      <c r="AO88" t="s">
        <v>1465</v>
      </c>
      <c r="AP88" t="s">
        <v>1466</v>
      </c>
      <c r="AQ88" t="s">
        <v>74</v>
      </c>
      <c r="AR88" t="s">
        <v>1467</v>
      </c>
      <c r="AS88" t="s">
        <v>1468</v>
      </c>
      <c r="AT88" t="s">
        <v>1120</v>
      </c>
      <c r="AU88">
        <v>2003</v>
      </c>
      <c r="AV88">
        <v>81</v>
      </c>
      <c r="AW88">
        <v>9</v>
      </c>
      <c r="AX88" t="s">
        <v>74</v>
      </c>
      <c r="AY88" t="s">
        <v>74</v>
      </c>
      <c r="AZ88" t="s">
        <v>74</v>
      </c>
      <c r="BA88" t="s">
        <v>74</v>
      </c>
      <c r="BB88">
        <v>1579</v>
      </c>
      <c r="BC88">
        <v>1588</v>
      </c>
      <c r="BD88" t="s">
        <v>74</v>
      </c>
      <c r="BE88" t="s">
        <v>1469</v>
      </c>
      <c r="BF88" t="str">
        <f>HYPERLINK("http://dx.doi.org/10.1139/Z03-113","http://dx.doi.org/10.1139/Z03-113")</f>
        <v>http://dx.doi.org/10.1139/Z03-113</v>
      </c>
      <c r="BG88" t="s">
        <v>74</v>
      </c>
      <c r="BH88" t="s">
        <v>74</v>
      </c>
      <c r="BI88">
        <v>10</v>
      </c>
      <c r="BJ88" t="s">
        <v>258</v>
      </c>
      <c r="BK88" t="s">
        <v>94</v>
      </c>
      <c r="BL88" t="s">
        <v>258</v>
      </c>
      <c r="BM88" t="s">
        <v>1470</v>
      </c>
      <c r="BN88" t="s">
        <v>74</v>
      </c>
      <c r="BO88" t="s">
        <v>74</v>
      </c>
      <c r="BP88" t="s">
        <v>74</v>
      </c>
      <c r="BQ88" t="s">
        <v>74</v>
      </c>
      <c r="BR88" t="s">
        <v>97</v>
      </c>
      <c r="BS88" t="s">
        <v>1471</v>
      </c>
      <c r="BT88" t="str">
        <f>HYPERLINK("https%3A%2F%2Fwww.webofscience.com%2Fwos%2Fwoscc%2Ffull-record%2FWOS:000186325200011","View Full Record in Web of Science")</f>
        <v>View Full Record in Web of Science</v>
      </c>
    </row>
    <row r="89" spans="1:72" x14ac:dyDescent="0.15">
      <c r="A89" t="s">
        <v>72</v>
      </c>
      <c r="B89" t="s">
        <v>1472</v>
      </c>
      <c r="C89" t="s">
        <v>74</v>
      </c>
      <c r="D89" t="s">
        <v>74</v>
      </c>
      <c r="E89" t="s">
        <v>74</v>
      </c>
      <c r="F89" t="s">
        <v>1472</v>
      </c>
      <c r="G89" t="s">
        <v>74</v>
      </c>
      <c r="H89" t="s">
        <v>74</v>
      </c>
      <c r="I89" t="s">
        <v>1473</v>
      </c>
      <c r="J89" t="s">
        <v>1474</v>
      </c>
      <c r="K89" t="s">
        <v>74</v>
      </c>
      <c r="L89" t="s">
        <v>74</v>
      </c>
      <c r="M89" t="s">
        <v>77</v>
      </c>
      <c r="N89" t="s">
        <v>78</v>
      </c>
      <c r="O89" t="s">
        <v>74</v>
      </c>
      <c r="P89" t="s">
        <v>74</v>
      </c>
      <c r="Q89" t="s">
        <v>74</v>
      </c>
      <c r="R89" t="s">
        <v>74</v>
      </c>
      <c r="S89" t="s">
        <v>74</v>
      </c>
      <c r="T89" t="s">
        <v>74</v>
      </c>
      <c r="U89" t="s">
        <v>1475</v>
      </c>
      <c r="V89" t="s">
        <v>1476</v>
      </c>
      <c r="W89" t="s">
        <v>1477</v>
      </c>
      <c r="X89" t="s">
        <v>1478</v>
      </c>
      <c r="Y89" t="s">
        <v>1479</v>
      </c>
      <c r="Z89" t="s">
        <v>1480</v>
      </c>
      <c r="AA89" t="s">
        <v>1481</v>
      </c>
      <c r="AB89" t="s">
        <v>1482</v>
      </c>
      <c r="AC89" t="s">
        <v>74</v>
      </c>
      <c r="AD89" t="s">
        <v>74</v>
      </c>
      <c r="AE89" t="s">
        <v>74</v>
      </c>
      <c r="AF89" t="s">
        <v>74</v>
      </c>
      <c r="AG89">
        <v>32</v>
      </c>
      <c r="AH89">
        <v>49</v>
      </c>
      <c r="AI89">
        <v>55</v>
      </c>
      <c r="AJ89">
        <v>0</v>
      </c>
      <c r="AK89">
        <v>12</v>
      </c>
      <c r="AL89" t="s">
        <v>207</v>
      </c>
      <c r="AM89" t="s">
        <v>229</v>
      </c>
      <c r="AN89" t="s">
        <v>323</v>
      </c>
      <c r="AO89" t="s">
        <v>1483</v>
      </c>
      <c r="AP89" t="s">
        <v>1484</v>
      </c>
      <c r="AQ89" t="s">
        <v>74</v>
      </c>
      <c r="AR89" t="s">
        <v>1485</v>
      </c>
      <c r="AS89" t="s">
        <v>1486</v>
      </c>
      <c r="AT89" t="s">
        <v>1120</v>
      </c>
      <c r="AU89">
        <v>2003</v>
      </c>
      <c r="AV89">
        <v>21</v>
      </c>
      <c r="AW89" t="s">
        <v>116</v>
      </c>
      <c r="AX89" t="s">
        <v>74</v>
      </c>
      <c r="AY89" t="s">
        <v>74</v>
      </c>
      <c r="AZ89" t="s">
        <v>74</v>
      </c>
      <c r="BA89" t="s">
        <v>74</v>
      </c>
      <c r="BB89">
        <v>289</v>
      </c>
      <c r="BC89">
        <v>307</v>
      </c>
      <c r="BD89" t="s">
        <v>74</v>
      </c>
      <c r="BE89" t="s">
        <v>1487</v>
      </c>
      <c r="BF89" t="str">
        <f>HYPERLINK("http://dx.doi.org/10.1007/s00382-003-0329-1","http://dx.doi.org/10.1007/s00382-003-0329-1")</f>
        <v>http://dx.doi.org/10.1007/s00382-003-0329-1</v>
      </c>
      <c r="BG89" t="s">
        <v>74</v>
      </c>
      <c r="BH89" t="s">
        <v>74</v>
      </c>
      <c r="BI89">
        <v>19</v>
      </c>
      <c r="BJ89" t="s">
        <v>93</v>
      </c>
      <c r="BK89" t="s">
        <v>94</v>
      </c>
      <c r="BL89" t="s">
        <v>93</v>
      </c>
      <c r="BM89" t="s">
        <v>1488</v>
      </c>
      <c r="BN89" t="s">
        <v>74</v>
      </c>
      <c r="BO89" t="s">
        <v>74</v>
      </c>
      <c r="BP89" t="s">
        <v>74</v>
      </c>
      <c r="BQ89" t="s">
        <v>74</v>
      </c>
      <c r="BR89" t="s">
        <v>97</v>
      </c>
      <c r="BS89" t="s">
        <v>1489</v>
      </c>
      <c r="BT89" t="str">
        <f>HYPERLINK("https%3A%2F%2Fwww.webofscience.com%2Fwos%2Fwoscc%2Ffull-record%2FWOS:000185228700006","View Full Record in Web of Science")</f>
        <v>View Full Record in Web of Science</v>
      </c>
    </row>
    <row r="90" spans="1:72" x14ac:dyDescent="0.15">
      <c r="A90" t="s">
        <v>72</v>
      </c>
      <c r="B90" t="s">
        <v>1490</v>
      </c>
      <c r="C90" t="s">
        <v>74</v>
      </c>
      <c r="D90" t="s">
        <v>74</v>
      </c>
      <c r="E90" t="s">
        <v>74</v>
      </c>
      <c r="F90" t="s">
        <v>1490</v>
      </c>
      <c r="G90" t="s">
        <v>74</v>
      </c>
      <c r="H90" t="s">
        <v>74</v>
      </c>
      <c r="I90" t="s">
        <v>1491</v>
      </c>
      <c r="J90" t="s">
        <v>1492</v>
      </c>
      <c r="K90" t="s">
        <v>74</v>
      </c>
      <c r="L90" t="s">
        <v>74</v>
      </c>
      <c r="M90" t="s">
        <v>77</v>
      </c>
      <c r="N90" t="s">
        <v>159</v>
      </c>
      <c r="O90" t="s">
        <v>1493</v>
      </c>
      <c r="P90" t="s">
        <v>1494</v>
      </c>
      <c r="Q90" t="s">
        <v>1495</v>
      </c>
      <c r="R90" t="s">
        <v>74</v>
      </c>
      <c r="S90" t="s">
        <v>74</v>
      </c>
      <c r="T90" t="s">
        <v>1496</v>
      </c>
      <c r="U90" t="s">
        <v>1497</v>
      </c>
      <c r="V90" t="s">
        <v>1498</v>
      </c>
      <c r="W90" t="s">
        <v>1499</v>
      </c>
      <c r="X90" t="s">
        <v>1500</v>
      </c>
      <c r="Y90" t="s">
        <v>1501</v>
      </c>
      <c r="Z90" t="s">
        <v>1502</v>
      </c>
      <c r="AA90" t="s">
        <v>74</v>
      </c>
      <c r="AB90" t="s">
        <v>1503</v>
      </c>
      <c r="AC90" t="s">
        <v>74</v>
      </c>
      <c r="AD90" t="s">
        <v>74</v>
      </c>
      <c r="AE90" t="s">
        <v>74</v>
      </c>
      <c r="AF90" t="s">
        <v>74</v>
      </c>
      <c r="AG90">
        <v>30</v>
      </c>
      <c r="AH90">
        <v>18</v>
      </c>
      <c r="AI90">
        <v>20</v>
      </c>
      <c r="AJ90">
        <v>1</v>
      </c>
      <c r="AK90">
        <v>12</v>
      </c>
      <c r="AL90" t="s">
        <v>781</v>
      </c>
      <c r="AM90" t="s">
        <v>111</v>
      </c>
      <c r="AN90" t="s">
        <v>782</v>
      </c>
      <c r="AO90" t="s">
        <v>1504</v>
      </c>
      <c r="AP90" t="s">
        <v>1505</v>
      </c>
      <c r="AQ90" t="s">
        <v>74</v>
      </c>
      <c r="AR90" t="s">
        <v>1506</v>
      </c>
      <c r="AS90" t="s">
        <v>1507</v>
      </c>
      <c r="AT90" t="s">
        <v>1120</v>
      </c>
      <c r="AU90">
        <v>2003</v>
      </c>
      <c r="AV90">
        <v>37</v>
      </c>
      <c r="AW90">
        <v>2</v>
      </c>
      <c r="AX90" t="s">
        <v>74</v>
      </c>
      <c r="AY90" t="s">
        <v>74</v>
      </c>
      <c r="AZ90" t="s">
        <v>74</v>
      </c>
      <c r="BA90" t="s">
        <v>74</v>
      </c>
      <c r="BB90">
        <v>137</v>
      </c>
      <c r="BC90">
        <v>149</v>
      </c>
      <c r="BD90" t="s">
        <v>74</v>
      </c>
      <c r="BE90" t="s">
        <v>1508</v>
      </c>
      <c r="BF90" t="str">
        <f>HYPERLINK("http://dx.doi.org/10.1016/S0165-232X(02)00092-7","http://dx.doi.org/10.1016/S0165-232X(02)00092-7")</f>
        <v>http://dx.doi.org/10.1016/S0165-232X(02)00092-7</v>
      </c>
      <c r="BG90" t="s">
        <v>74</v>
      </c>
      <c r="BH90" t="s">
        <v>74</v>
      </c>
      <c r="BI90">
        <v>13</v>
      </c>
      <c r="BJ90" t="s">
        <v>1509</v>
      </c>
      <c r="BK90" t="s">
        <v>177</v>
      </c>
      <c r="BL90" t="s">
        <v>1510</v>
      </c>
      <c r="BM90" t="s">
        <v>1511</v>
      </c>
      <c r="BN90" t="s">
        <v>74</v>
      </c>
      <c r="BO90" t="s">
        <v>74</v>
      </c>
      <c r="BP90" t="s">
        <v>74</v>
      </c>
      <c r="BQ90" t="s">
        <v>74</v>
      </c>
      <c r="BR90" t="s">
        <v>97</v>
      </c>
      <c r="BS90" t="s">
        <v>1512</v>
      </c>
      <c r="BT90" t="str">
        <f>HYPERLINK("https%3A%2F%2Fwww.webofscience.com%2Fwos%2Fwoscc%2Ffull-record%2FWOS:000185303700005","View Full Record in Web of Science")</f>
        <v>View Full Record in Web of Science</v>
      </c>
    </row>
    <row r="91" spans="1:72" x14ac:dyDescent="0.15">
      <c r="A91" t="s">
        <v>72</v>
      </c>
      <c r="B91" t="s">
        <v>1513</v>
      </c>
      <c r="C91" t="s">
        <v>74</v>
      </c>
      <c r="D91" t="s">
        <v>74</v>
      </c>
      <c r="E91" t="s">
        <v>74</v>
      </c>
      <c r="F91" t="s">
        <v>1513</v>
      </c>
      <c r="G91" t="s">
        <v>74</v>
      </c>
      <c r="H91" t="s">
        <v>74</v>
      </c>
      <c r="I91" t="s">
        <v>1514</v>
      </c>
      <c r="J91" t="s">
        <v>1492</v>
      </c>
      <c r="K91" t="s">
        <v>74</v>
      </c>
      <c r="L91" t="s">
        <v>74</v>
      </c>
      <c r="M91" t="s">
        <v>77</v>
      </c>
      <c r="N91" t="s">
        <v>159</v>
      </c>
      <c r="O91" t="s">
        <v>1493</v>
      </c>
      <c r="P91" t="s">
        <v>1494</v>
      </c>
      <c r="Q91" t="s">
        <v>1495</v>
      </c>
      <c r="R91" t="s">
        <v>74</v>
      </c>
      <c r="S91" t="s">
        <v>74</v>
      </c>
      <c r="T91" t="s">
        <v>1515</v>
      </c>
      <c r="U91" t="s">
        <v>1516</v>
      </c>
      <c r="V91" t="s">
        <v>1517</v>
      </c>
      <c r="W91" t="s">
        <v>1518</v>
      </c>
      <c r="X91" t="s">
        <v>1519</v>
      </c>
      <c r="Y91" t="s">
        <v>1520</v>
      </c>
      <c r="Z91" t="s">
        <v>74</v>
      </c>
      <c r="AA91" t="s">
        <v>1521</v>
      </c>
      <c r="AB91" t="s">
        <v>1522</v>
      </c>
      <c r="AC91" t="s">
        <v>74</v>
      </c>
      <c r="AD91" t="s">
        <v>74</v>
      </c>
      <c r="AE91" t="s">
        <v>74</v>
      </c>
      <c r="AF91" t="s">
        <v>74</v>
      </c>
      <c r="AG91">
        <v>35</v>
      </c>
      <c r="AH91">
        <v>44</v>
      </c>
      <c r="AI91">
        <v>51</v>
      </c>
      <c r="AJ91">
        <v>3</v>
      </c>
      <c r="AK91">
        <v>19</v>
      </c>
      <c r="AL91" t="s">
        <v>110</v>
      </c>
      <c r="AM91" t="s">
        <v>111</v>
      </c>
      <c r="AN91" t="s">
        <v>112</v>
      </c>
      <c r="AO91" t="s">
        <v>1504</v>
      </c>
      <c r="AP91" t="s">
        <v>74</v>
      </c>
      <c r="AQ91" t="s">
        <v>74</v>
      </c>
      <c r="AR91" t="s">
        <v>1506</v>
      </c>
      <c r="AS91" t="s">
        <v>1507</v>
      </c>
      <c r="AT91" t="s">
        <v>1120</v>
      </c>
      <c r="AU91">
        <v>2003</v>
      </c>
      <c r="AV91">
        <v>37</v>
      </c>
      <c r="AW91">
        <v>2</v>
      </c>
      <c r="AX91" t="s">
        <v>74</v>
      </c>
      <c r="AY91" t="s">
        <v>74</v>
      </c>
      <c r="AZ91" t="s">
        <v>74</v>
      </c>
      <c r="BA91" t="s">
        <v>74</v>
      </c>
      <c r="BB91">
        <v>159</v>
      </c>
      <c r="BC91">
        <v>168</v>
      </c>
      <c r="BD91" t="s">
        <v>74</v>
      </c>
      <c r="BE91" t="s">
        <v>1523</v>
      </c>
      <c r="BF91" t="str">
        <f>HYPERLINK("http://dx.doi.org/10.1016/S0165-232X(03)00038-7","http://dx.doi.org/10.1016/S0165-232X(03)00038-7")</f>
        <v>http://dx.doi.org/10.1016/S0165-232X(03)00038-7</v>
      </c>
      <c r="BG91" t="s">
        <v>74</v>
      </c>
      <c r="BH91" t="s">
        <v>74</v>
      </c>
      <c r="BI91">
        <v>10</v>
      </c>
      <c r="BJ91" t="s">
        <v>1509</v>
      </c>
      <c r="BK91" t="s">
        <v>854</v>
      </c>
      <c r="BL91" t="s">
        <v>1510</v>
      </c>
      <c r="BM91" t="s">
        <v>1511</v>
      </c>
      <c r="BN91" t="s">
        <v>74</v>
      </c>
      <c r="BO91" t="s">
        <v>74</v>
      </c>
      <c r="BP91" t="s">
        <v>74</v>
      </c>
      <c r="BQ91" t="s">
        <v>74</v>
      </c>
      <c r="BR91" t="s">
        <v>97</v>
      </c>
      <c r="BS91" t="s">
        <v>1524</v>
      </c>
      <c r="BT91" t="str">
        <f>HYPERLINK("https%3A%2F%2Fwww.webofscience.com%2Fwos%2Fwoscc%2Ffull-record%2FWOS:000185303700007","View Full Record in Web of Science")</f>
        <v>View Full Record in Web of Science</v>
      </c>
    </row>
    <row r="92" spans="1:72" x14ac:dyDescent="0.15">
      <c r="A92" t="s">
        <v>72</v>
      </c>
      <c r="B92" t="s">
        <v>1525</v>
      </c>
      <c r="C92" t="s">
        <v>74</v>
      </c>
      <c r="D92" t="s">
        <v>74</v>
      </c>
      <c r="E92" t="s">
        <v>74</v>
      </c>
      <c r="F92" t="s">
        <v>1525</v>
      </c>
      <c r="G92" t="s">
        <v>74</v>
      </c>
      <c r="H92" t="s">
        <v>74</v>
      </c>
      <c r="I92" t="s">
        <v>1526</v>
      </c>
      <c r="J92" t="s">
        <v>1492</v>
      </c>
      <c r="K92" t="s">
        <v>74</v>
      </c>
      <c r="L92" t="s">
        <v>74</v>
      </c>
      <c r="M92" t="s">
        <v>77</v>
      </c>
      <c r="N92" t="s">
        <v>159</v>
      </c>
      <c r="O92" t="s">
        <v>1493</v>
      </c>
      <c r="P92" t="s">
        <v>1494</v>
      </c>
      <c r="Q92" t="s">
        <v>1495</v>
      </c>
      <c r="R92" t="s">
        <v>74</v>
      </c>
      <c r="S92" t="s">
        <v>74</v>
      </c>
      <c r="T92" t="s">
        <v>1527</v>
      </c>
      <c r="U92" t="s">
        <v>74</v>
      </c>
      <c r="V92" t="s">
        <v>1528</v>
      </c>
      <c r="W92" t="s">
        <v>1529</v>
      </c>
      <c r="X92" t="s">
        <v>1530</v>
      </c>
      <c r="Y92" t="s">
        <v>1531</v>
      </c>
      <c r="Z92" t="s">
        <v>1532</v>
      </c>
      <c r="AA92" t="s">
        <v>74</v>
      </c>
      <c r="AB92" t="s">
        <v>1522</v>
      </c>
      <c r="AC92" t="s">
        <v>74</v>
      </c>
      <c r="AD92" t="s">
        <v>74</v>
      </c>
      <c r="AE92" t="s">
        <v>74</v>
      </c>
      <c r="AF92" t="s">
        <v>74</v>
      </c>
      <c r="AG92">
        <v>21</v>
      </c>
      <c r="AH92">
        <v>20</v>
      </c>
      <c r="AI92">
        <v>21</v>
      </c>
      <c r="AJ92">
        <v>0</v>
      </c>
      <c r="AK92">
        <v>9</v>
      </c>
      <c r="AL92" t="s">
        <v>781</v>
      </c>
      <c r="AM92" t="s">
        <v>111</v>
      </c>
      <c r="AN92" t="s">
        <v>782</v>
      </c>
      <c r="AO92" t="s">
        <v>1504</v>
      </c>
      <c r="AP92" t="s">
        <v>1505</v>
      </c>
      <c r="AQ92" t="s">
        <v>74</v>
      </c>
      <c r="AR92" t="s">
        <v>1506</v>
      </c>
      <c r="AS92" t="s">
        <v>1507</v>
      </c>
      <c r="AT92" t="s">
        <v>1120</v>
      </c>
      <c r="AU92">
        <v>2003</v>
      </c>
      <c r="AV92">
        <v>37</v>
      </c>
      <c r="AW92">
        <v>2</v>
      </c>
      <c r="AX92" t="s">
        <v>74</v>
      </c>
      <c r="AY92" t="s">
        <v>74</v>
      </c>
      <c r="AZ92" t="s">
        <v>74</v>
      </c>
      <c r="BA92" t="s">
        <v>74</v>
      </c>
      <c r="BB92">
        <v>169</v>
      </c>
      <c r="BC92">
        <v>185</v>
      </c>
      <c r="BD92" t="s">
        <v>74</v>
      </c>
      <c r="BE92" t="s">
        <v>1533</v>
      </c>
      <c r="BF92" t="str">
        <f>HYPERLINK("http://dx.doi.org/10.1016/S0165-232X(03)00039-9","http://dx.doi.org/10.1016/S0165-232X(03)00039-9")</f>
        <v>http://dx.doi.org/10.1016/S0165-232X(03)00039-9</v>
      </c>
      <c r="BG92" t="s">
        <v>74</v>
      </c>
      <c r="BH92" t="s">
        <v>74</v>
      </c>
      <c r="BI92">
        <v>17</v>
      </c>
      <c r="BJ92" t="s">
        <v>1509</v>
      </c>
      <c r="BK92" t="s">
        <v>177</v>
      </c>
      <c r="BL92" t="s">
        <v>1510</v>
      </c>
      <c r="BM92" t="s">
        <v>1511</v>
      </c>
      <c r="BN92" t="s">
        <v>74</v>
      </c>
      <c r="BO92" t="s">
        <v>74</v>
      </c>
      <c r="BP92" t="s">
        <v>74</v>
      </c>
      <c r="BQ92" t="s">
        <v>74</v>
      </c>
      <c r="BR92" t="s">
        <v>97</v>
      </c>
      <c r="BS92" t="s">
        <v>1534</v>
      </c>
      <c r="BT92" t="str">
        <f>HYPERLINK("https%3A%2F%2Fwww.webofscience.com%2Fwos%2Fwoscc%2Ffull-record%2FWOS:000185303700008","View Full Record in Web of Science")</f>
        <v>View Full Record in Web of Science</v>
      </c>
    </row>
    <row r="93" spans="1:72" x14ac:dyDescent="0.15">
      <c r="A93" t="s">
        <v>72</v>
      </c>
      <c r="B93" t="s">
        <v>1535</v>
      </c>
      <c r="C93" t="s">
        <v>74</v>
      </c>
      <c r="D93" t="s">
        <v>74</v>
      </c>
      <c r="E93" t="s">
        <v>74</v>
      </c>
      <c r="F93" t="s">
        <v>1535</v>
      </c>
      <c r="G93" t="s">
        <v>74</v>
      </c>
      <c r="H93" t="s">
        <v>74</v>
      </c>
      <c r="I93" t="s">
        <v>1536</v>
      </c>
      <c r="J93" t="s">
        <v>1492</v>
      </c>
      <c r="K93" t="s">
        <v>74</v>
      </c>
      <c r="L93" t="s">
        <v>74</v>
      </c>
      <c r="M93" t="s">
        <v>77</v>
      </c>
      <c r="N93" t="s">
        <v>159</v>
      </c>
      <c r="O93" t="s">
        <v>1493</v>
      </c>
      <c r="P93" t="s">
        <v>1494</v>
      </c>
      <c r="Q93" t="s">
        <v>1495</v>
      </c>
      <c r="R93" t="s">
        <v>74</v>
      </c>
      <c r="S93" t="s">
        <v>74</v>
      </c>
      <c r="T93" t="s">
        <v>1537</v>
      </c>
      <c r="U93" t="s">
        <v>1538</v>
      </c>
      <c r="V93" t="s">
        <v>1539</v>
      </c>
      <c r="W93" t="s">
        <v>1540</v>
      </c>
      <c r="X93" t="s">
        <v>1541</v>
      </c>
      <c r="Y93" t="s">
        <v>1542</v>
      </c>
      <c r="Z93" t="s">
        <v>74</v>
      </c>
      <c r="AA93" t="s">
        <v>1543</v>
      </c>
      <c r="AB93" t="s">
        <v>1544</v>
      </c>
      <c r="AC93" t="s">
        <v>74</v>
      </c>
      <c r="AD93" t="s">
        <v>74</v>
      </c>
      <c r="AE93" t="s">
        <v>74</v>
      </c>
      <c r="AF93" t="s">
        <v>74</v>
      </c>
      <c r="AG93">
        <v>19</v>
      </c>
      <c r="AH93">
        <v>18</v>
      </c>
      <c r="AI93">
        <v>23</v>
      </c>
      <c r="AJ93">
        <v>0</v>
      </c>
      <c r="AK93">
        <v>14</v>
      </c>
      <c r="AL93" t="s">
        <v>110</v>
      </c>
      <c r="AM93" t="s">
        <v>111</v>
      </c>
      <c r="AN93" t="s">
        <v>112</v>
      </c>
      <c r="AO93" t="s">
        <v>1504</v>
      </c>
      <c r="AP93" t="s">
        <v>74</v>
      </c>
      <c r="AQ93" t="s">
        <v>74</v>
      </c>
      <c r="AR93" t="s">
        <v>1506</v>
      </c>
      <c r="AS93" t="s">
        <v>1507</v>
      </c>
      <c r="AT93" t="s">
        <v>1120</v>
      </c>
      <c r="AU93">
        <v>2003</v>
      </c>
      <c r="AV93">
        <v>37</v>
      </c>
      <c r="AW93">
        <v>2</v>
      </c>
      <c r="AX93" t="s">
        <v>74</v>
      </c>
      <c r="AY93" t="s">
        <v>74</v>
      </c>
      <c r="AZ93" t="s">
        <v>74</v>
      </c>
      <c r="BA93" t="s">
        <v>74</v>
      </c>
      <c r="BB93">
        <v>187</v>
      </c>
      <c r="BC93">
        <v>195</v>
      </c>
      <c r="BD93" t="s">
        <v>74</v>
      </c>
      <c r="BE93" t="s">
        <v>1545</v>
      </c>
      <c r="BF93" t="str">
        <f>HYPERLINK("http://dx.doi.org/10.1016/S0165-232X(03)00037-5","http://dx.doi.org/10.1016/S0165-232X(03)00037-5")</f>
        <v>http://dx.doi.org/10.1016/S0165-232X(03)00037-5</v>
      </c>
      <c r="BG93" t="s">
        <v>74</v>
      </c>
      <c r="BH93" t="s">
        <v>74</v>
      </c>
      <c r="BI93">
        <v>9</v>
      </c>
      <c r="BJ93" t="s">
        <v>1509</v>
      </c>
      <c r="BK93" t="s">
        <v>854</v>
      </c>
      <c r="BL93" t="s">
        <v>1510</v>
      </c>
      <c r="BM93" t="s">
        <v>1511</v>
      </c>
      <c r="BN93" t="s">
        <v>74</v>
      </c>
      <c r="BO93" t="s">
        <v>74</v>
      </c>
      <c r="BP93" t="s">
        <v>74</v>
      </c>
      <c r="BQ93" t="s">
        <v>74</v>
      </c>
      <c r="BR93" t="s">
        <v>97</v>
      </c>
      <c r="BS93" t="s">
        <v>1546</v>
      </c>
      <c r="BT93" t="str">
        <f>HYPERLINK("https%3A%2F%2Fwww.webofscience.com%2Fwos%2Fwoscc%2Ffull-record%2FWOS:000185303700009","View Full Record in Web of Science")</f>
        <v>View Full Record in Web of Science</v>
      </c>
    </row>
    <row r="94" spans="1:72" x14ac:dyDescent="0.15">
      <c r="A94" t="s">
        <v>72</v>
      </c>
      <c r="B94" t="s">
        <v>1547</v>
      </c>
      <c r="C94" t="s">
        <v>74</v>
      </c>
      <c r="D94" t="s">
        <v>74</v>
      </c>
      <c r="E94" t="s">
        <v>74</v>
      </c>
      <c r="F94" t="s">
        <v>1547</v>
      </c>
      <c r="G94" t="s">
        <v>74</v>
      </c>
      <c r="H94" t="s">
        <v>74</v>
      </c>
      <c r="I94" t="s">
        <v>1548</v>
      </c>
      <c r="J94" t="s">
        <v>1492</v>
      </c>
      <c r="K94" t="s">
        <v>74</v>
      </c>
      <c r="L94" t="s">
        <v>74</v>
      </c>
      <c r="M94" t="s">
        <v>77</v>
      </c>
      <c r="N94" t="s">
        <v>159</v>
      </c>
      <c r="O94" t="s">
        <v>1493</v>
      </c>
      <c r="P94" t="s">
        <v>1494</v>
      </c>
      <c r="Q94" t="s">
        <v>1495</v>
      </c>
      <c r="R94" t="s">
        <v>74</v>
      </c>
      <c r="S94" t="s">
        <v>74</v>
      </c>
      <c r="T94" t="s">
        <v>1549</v>
      </c>
      <c r="U94" t="s">
        <v>1550</v>
      </c>
      <c r="V94" t="s">
        <v>1551</v>
      </c>
      <c r="W94" t="s">
        <v>1552</v>
      </c>
      <c r="X94" t="s">
        <v>1553</v>
      </c>
      <c r="Y94" t="s">
        <v>1554</v>
      </c>
      <c r="Z94" t="s">
        <v>74</v>
      </c>
      <c r="AA94" t="s">
        <v>1555</v>
      </c>
      <c r="AB94" t="s">
        <v>1556</v>
      </c>
      <c r="AC94" t="s">
        <v>74</v>
      </c>
      <c r="AD94" t="s">
        <v>74</v>
      </c>
      <c r="AE94" t="s">
        <v>74</v>
      </c>
      <c r="AF94" t="s">
        <v>74</v>
      </c>
      <c r="AG94">
        <v>43</v>
      </c>
      <c r="AH94">
        <v>80</v>
      </c>
      <c r="AI94">
        <v>92</v>
      </c>
      <c r="AJ94">
        <v>0</v>
      </c>
      <c r="AK94">
        <v>11</v>
      </c>
      <c r="AL94" t="s">
        <v>110</v>
      </c>
      <c r="AM94" t="s">
        <v>111</v>
      </c>
      <c r="AN94" t="s">
        <v>112</v>
      </c>
      <c r="AO94" t="s">
        <v>1504</v>
      </c>
      <c r="AP94" t="s">
        <v>74</v>
      </c>
      <c r="AQ94" t="s">
        <v>74</v>
      </c>
      <c r="AR94" t="s">
        <v>1506</v>
      </c>
      <c r="AS94" t="s">
        <v>1507</v>
      </c>
      <c r="AT94" t="s">
        <v>1120</v>
      </c>
      <c r="AU94">
        <v>2003</v>
      </c>
      <c r="AV94">
        <v>37</v>
      </c>
      <c r="AW94">
        <v>2</v>
      </c>
      <c r="AX94" t="s">
        <v>74</v>
      </c>
      <c r="AY94" t="s">
        <v>74</v>
      </c>
      <c r="AZ94" t="s">
        <v>74</v>
      </c>
      <c r="BA94" t="s">
        <v>74</v>
      </c>
      <c r="BB94">
        <v>197</v>
      </c>
      <c r="BC94">
        <v>212</v>
      </c>
      <c r="BD94" t="s">
        <v>74</v>
      </c>
      <c r="BE94" t="s">
        <v>1557</v>
      </c>
      <c r="BF94" t="str">
        <f>HYPERLINK("http://dx.doi.org/10.1016/S0165-232X(03)00041-7","http://dx.doi.org/10.1016/S0165-232X(03)00041-7")</f>
        <v>http://dx.doi.org/10.1016/S0165-232X(03)00041-7</v>
      </c>
      <c r="BG94" t="s">
        <v>74</v>
      </c>
      <c r="BH94" t="s">
        <v>74</v>
      </c>
      <c r="BI94">
        <v>16</v>
      </c>
      <c r="BJ94" t="s">
        <v>1509</v>
      </c>
      <c r="BK94" t="s">
        <v>854</v>
      </c>
      <c r="BL94" t="s">
        <v>1510</v>
      </c>
      <c r="BM94" t="s">
        <v>1511</v>
      </c>
      <c r="BN94" t="s">
        <v>74</v>
      </c>
      <c r="BO94" t="s">
        <v>74</v>
      </c>
      <c r="BP94" t="s">
        <v>74</v>
      </c>
      <c r="BQ94" t="s">
        <v>74</v>
      </c>
      <c r="BR94" t="s">
        <v>97</v>
      </c>
      <c r="BS94" t="s">
        <v>1558</v>
      </c>
      <c r="BT94" t="str">
        <f>HYPERLINK("https%3A%2F%2Fwww.webofscience.com%2Fwos%2Fwoscc%2Ffull-record%2FWOS:000185303700010","View Full Record in Web of Science")</f>
        <v>View Full Record in Web of Science</v>
      </c>
    </row>
    <row r="95" spans="1:72" x14ac:dyDescent="0.15">
      <c r="A95" t="s">
        <v>72</v>
      </c>
      <c r="B95" t="s">
        <v>1559</v>
      </c>
      <c r="C95" t="s">
        <v>74</v>
      </c>
      <c r="D95" t="s">
        <v>74</v>
      </c>
      <c r="E95" t="s">
        <v>74</v>
      </c>
      <c r="F95" t="s">
        <v>1559</v>
      </c>
      <c r="G95" t="s">
        <v>74</v>
      </c>
      <c r="H95" t="s">
        <v>74</v>
      </c>
      <c r="I95" t="s">
        <v>1560</v>
      </c>
      <c r="J95" t="s">
        <v>1561</v>
      </c>
      <c r="K95" t="s">
        <v>74</v>
      </c>
      <c r="L95" t="s">
        <v>74</v>
      </c>
      <c r="M95" t="s">
        <v>77</v>
      </c>
      <c r="N95" t="s">
        <v>78</v>
      </c>
      <c r="O95" t="s">
        <v>74</v>
      </c>
      <c r="P95" t="s">
        <v>74</v>
      </c>
      <c r="Q95" t="s">
        <v>74</v>
      </c>
      <c r="R95" t="s">
        <v>74</v>
      </c>
      <c r="S95" t="s">
        <v>74</v>
      </c>
      <c r="T95" t="s">
        <v>1562</v>
      </c>
      <c r="U95" t="s">
        <v>1563</v>
      </c>
      <c r="V95" t="s">
        <v>1564</v>
      </c>
      <c r="W95" t="s">
        <v>1565</v>
      </c>
      <c r="X95" t="s">
        <v>1566</v>
      </c>
      <c r="Y95" t="s">
        <v>1567</v>
      </c>
      <c r="Z95" t="s">
        <v>1568</v>
      </c>
      <c r="AA95" t="s">
        <v>1569</v>
      </c>
      <c r="AB95" t="s">
        <v>1570</v>
      </c>
      <c r="AC95" t="s">
        <v>74</v>
      </c>
      <c r="AD95" t="s">
        <v>74</v>
      </c>
      <c r="AE95" t="s">
        <v>74</v>
      </c>
      <c r="AF95" t="s">
        <v>74</v>
      </c>
      <c r="AG95">
        <v>14</v>
      </c>
      <c r="AH95">
        <v>5</v>
      </c>
      <c r="AI95">
        <v>5</v>
      </c>
      <c r="AJ95">
        <v>0</v>
      </c>
      <c r="AK95">
        <v>2</v>
      </c>
      <c r="AL95" t="s">
        <v>1571</v>
      </c>
      <c r="AM95" t="s">
        <v>229</v>
      </c>
      <c r="AN95" t="s">
        <v>1572</v>
      </c>
      <c r="AO95" t="s">
        <v>1573</v>
      </c>
      <c r="AP95" t="s">
        <v>1574</v>
      </c>
      <c r="AQ95" t="s">
        <v>74</v>
      </c>
      <c r="AR95" t="s">
        <v>1575</v>
      </c>
      <c r="AS95" t="s">
        <v>1576</v>
      </c>
      <c r="AT95" t="s">
        <v>1120</v>
      </c>
      <c r="AU95">
        <v>2003</v>
      </c>
      <c r="AV95">
        <v>136</v>
      </c>
      <c r="AW95">
        <v>1</v>
      </c>
      <c r="AX95" t="s">
        <v>74</v>
      </c>
      <c r="AY95" t="s">
        <v>74</v>
      </c>
      <c r="AZ95" t="s">
        <v>74</v>
      </c>
      <c r="BA95" t="s">
        <v>74</v>
      </c>
      <c r="BB95">
        <v>1</v>
      </c>
      <c r="BC95">
        <v>7</v>
      </c>
      <c r="BD95" t="s">
        <v>74</v>
      </c>
      <c r="BE95" t="s">
        <v>1577</v>
      </c>
      <c r="BF95" t="str">
        <f>HYPERLINK("http://dx.doi.org/10.1016/S1532-0456(03)00141-8","http://dx.doi.org/10.1016/S1532-0456(03)00141-8")</f>
        <v>http://dx.doi.org/10.1016/S1532-0456(03)00141-8</v>
      </c>
      <c r="BG95" t="s">
        <v>74</v>
      </c>
      <c r="BH95" t="s">
        <v>74</v>
      </c>
      <c r="BI95">
        <v>7</v>
      </c>
      <c r="BJ95" t="s">
        <v>1578</v>
      </c>
      <c r="BK95" t="s">
        <v>94</v>
      </c>
      <c r="BL95" t="s">
        <v>1578</v>
      </c>
      <c r="BM95" t="s">
        <v>1579</v>
      </c>
      <c r="BN95">
        <v>14522594</v>
      </c>
      <c r="BO95" t="s">
        <v>74</v>
      </c>
      <c r="BP95" t="s">
        <v>74</v>
      </c>
      <c r="BQ95" t="s">
        <v>74</v>
      </c>
      <c r="BR95" t="s">
        <v>97</v>
      </c>
      <c r="BS95" t="s">
        <v>1580</v>
      </c>
      <c r="BT95" t="str">
        <f>HYPERLINK("https%3A%2F%2Fwww.webofscience.com%2Fwos%2Fwoscc%2Ffull-record%2FWOS:000185694700001","View Full Record in Web of Science")</f>
        <v>View Full Record in Web of Science</v>
      </c>
    </row>
    <row r="96" spans="1:72" x14ac:dyDescent="0.15">
      <c r="A96" t="s">
        <v>72</v>
      </c>
      <c r="B96" t="s">
        <v>1581</v>
      </c>
      <c r="C96" t="s">
        <v>74</v>
      </c>
      <c r="D96" t="s">
        <v>74</v>
      </c>
      <c r="E96" t="s">
        <v>74</v>
      </c>
      <c r="F96" t="s">
        <v>1581</v>
      </c>
      <c r="G96" t="s">
        <v>74</v>
      </c>
      <c r="H96" t="s">
        <v>74</v>
      </c>
      <c r="I96" t="s">
        <v>1582</v>
      </c>
      <c r="J96" t="s">
        <v>1583</v>
      </c>
      <c r="K96" t="s">
        <v>74</v>
      </c>
      <c r="L96" t="s">
        <v>74</v>
      </c>
      <c r="M96" t="s">
        <v>77</v>
      </c>
      <c r="N96" t="s">
        <v>78</v>
      </c>
      <c r="O96" t="s">
        <v>74</v>
      </c>
      <c r="P96" t="s">
        <v>74</v>
      </c>
      <c r="Q96" t="s">
        <v>74</v>
      </c>
      <c r="R96" t="s">
        <v>74</v>
      </c>
      <c r="S96" t="s">
        <v>74</v>
      </c>
      <c r="T96" t="s">
        <v>74</v>
      </c>
      <c r="U96" t="s">
        <v>1584</v>
      </c>
      <c r="V96" t="s">
        <v>1585</v>
      </c>
      <c r="W96" t="s">
        <v>1586</v>
      </c>
      <c r="X96" t="s">
        <v>1587</v>
      </c>
      <c r="Y96" t="s">
        <v>1588</v>
      </c>
      <c r="Z96" t="s">
        <v>1589</v>
      </c>
      <c r="AA96" t="s">
        <v>1590</v>
      </c>
      <c r="AB96" t="s">
        <v>1591</v>
      </c>
      <c r="AC96" t="s">
        <v>74</v>
      </c>
      <c r="AD96" t="s">
        <v>74</v>
      </c>
      <c r="AE96" t="s">
        <v>74</v>
      </c>
      <c r="AF96" t="s">
        <v>74</v>
      </c>
      <c r="AG96">
        <v>76</v>
      </c>
      <c r="AH96">
        <v>39</v>
      </c>
      <c r="AI96">
        <v>39</v>
      </c>
      <c r="AJ96">
        <v>0</v>
      </c>
      <c r="AK96">
        <v>5</v>
      </c>
      <c r="AL96" t="s">
        <v>207</v>
      </c>
      <c r="AM96" t="s">
        <v>229</v>
      </c>
      <c r="AN96" t="s">
        <v>1592</v>
      </c>
      <c r="AO96" t="s">
        <v>1593</v>
      </c>
      <c r="AP96" t="s">
        <v>1594</v>
      </c>
      <c r="AQ96" t="s">
        <v>74</v>
      </c>
      <c r="AR96" t="s">
        <v>1595</v>
      </c>
      <c r="AS96" t="s">
        <v>1596</v>
      </c>
      <c r="AT96" t="s">
        <v>1120</v>
      </c>
      <c r="AU96">
        <v>2003</v>
      </c>
      <c r="AV96">
        <v>145</v>
      </c>
      <c r="AW96">
        <v>6</v>
      </c>
      <c r="AX96" t="s">
        <v>74</v>
      </c>
      <c r="AY96" t="s">
        <v>74</v>
      </c>
      <c r="AZ96" t="s">
        <v>74</v>
      </c>
      <c r="BA96" t="s">
        <v>74</v>
      </c>
      <c r="BB96">
        <v>691</v>
      </c>
      <c r="BC96">
        <v>706</v>
      </c>
      <c r="BD96" t="s">
        <v>74</v>
      </c>
      <c r="BE96" t="s">
        <v>1597</v>
      </c>
      <c r="BF96" t="str">
        <f>HYPERLINK("http://dx.doi.org/10.1007/s00410-003-0462-1","http://dx.doi.org/10.1007/s00410-003-0462-1")</f>
        <v>http://dx.doi.org/10.1007/s00410-003-0462-1</v>
      </c>
      <c r="BG96" t="s">
        <v>74</v>
      </c>
      <c r="BH96" t="s">
        <v>74</v>
      </c>
      <c r="BI96">
        <v>16</v>
      </c>
      <c r="BJ96" t="s">
        <v>1598</v>
      </c>
      <c r="BK96" t="s">
        <v>94</v>
      </c>
      <c r="BL96" t="s">
        <v>1598</v>
      </c>
      <c r="BM96" t="s">
        <v>1599</v>
      </c>
      <c r="BN96" t="s">
        <v>74</v>
      </c>
      <c r="BO96" t="s">
        <v>74</v>
      </c>
      <c r="BP96" t="s">
        <v>74</v>
      </c>
      <c r="BQ96" t="s">
        <v>74</v>
      </c>
      <c r="BR96" t="s">
        <v>97</v>
      </c>
      <c r="BS96" t="s">
        <v>1600</v>
      </c>
      <c r="BT96" t="str">
        <f>HYPERLINK("https%3A%2F%2Fwww.webofscience.com%2Fwos%2Fwoscc%2Ffull-record%2FWOS:000185457300004","View Full Record in Web of Science")</f>
        <v>View Full Record in Web of Science</v>
      </c>
    </row>
    <row r="97" spans="1:72" x14ac:dyDescent="0.15">
      <c r="A97" t="s">
        <v>72</v>
      </c>
      <c r="B97" t="s">
        <v>1601</v>
      </c>
      <c r="C97" t="s">
        <v>74</v>
      </c>
      <c r="D97" t="s">
        <v>74</v>
      </c>
      <c r="E97" t="s">
        <v>74</v>
      </c>
      <c r="F97" t="s">
        <v>1601</v>
      </c>
      <c r="G97" t="s">
        <v>74</v>
      </c>
      <c r="H97" t="s">
        <v>74</v>
      </c>
      <c r="I97" t="s">
        <v>1602</v>
      </c>
      <c r="J97" t="s">
        <v>1603</v>
      </c>
      <c r="K97" t="s">
        <v>74</v>
      </c>
      <c r="L97" t="s">
        <v>74</v>
      </c>
      <c r="M97" t="s">
        <v>77</v>
      </c>
      <c r="N97" t="s">
        <v>78</v>
      </c>
      <c r="O97" t="s">
        <v>74</v>
      </c>
      <c r="P97" t="s">
        <v>74</v>
      </c>
      <c r="Q97" t="s">
        <v>74</v>
      </c>
      <c r="R97" t="s">
        <v>74</v>
      </c>
      <c r="S97" t="s">
        <v>74</v>
      </c>
      <c r="T97" t="s">
        <v>1604</v>
      </c>
      <c r="U97" t="s">
        <v>1605</v>
      </c>
      <c r="V97" t="s">
        <v>1606</v>
      </c>
      <c r="W97" t="s">
        <v>1607</v>
      </c>
      <c r="X97" t="s">
        <v>1608</v>
      </c>
      <c r="Y97" t="s">
        <v>1609</v>
      </c>
      <c r="Z97" t="s">
        <v>1610</v>
      </c>
      <c r="AA97" t="s">
        <v>1611</v>
      </c>
      <c r="AB97" t="s">
        <v>1612</v>
      </c>
      <c r="AC97" t="s">
        <v>74</v>
      </c>
      <c r="AD97" t="s">
        <v>74</v>
      </c>
      <c r="AE97" t="s">
        <v>74</v>
      </c>
      <c r="AF97" t="s">
        <v>74</v>
      </c>
      <c r="AG97">
        <v>40</v>
      </c>
      <c r="AH97">
        <v>40</v>
      </c>
      <c r="AI97">
        <v>44</v>
      </c>
      <c r="AJ97">
        <v>0</v>
      </c>
      <c r="AK97">
        <v>9</v>
      </c>
      <c r="AL97" t="s">
        <v>169</v>
      </c>
      <c r="AM97" t="s">
        <v>170</v>
      </c>
      <c r="AN97" t="s">
        <v>171</v>
      </c>
      <c r="AO97" t="s">
        <v>1613</v>
      </c>
      <c r="AP97" t="s">
        <v>1614</v>
      </c>
      <c r="AQ97" t="s">
        <v>74</v>
      </c>
      <c r="AR97" t="s">
        <v>1615</v>
      </c>
      <c r="AS97" t="s">
        <v>1616</v>
      </c>
      <c r="AT97" t="s">
        <v>1120</v>
      </c>
      <c r="AU97">
        <v>2003</v>
      </c>
      <c r="AV97">
        <v>50</v>
      </c>
      <c r="AW97">
        <v>9</v>
      </c>
      <c r="AX97" t="s">
        <v>74</v>
      </c>
      <c r="AY97" t="s">
        <v>74</v>
      </c>
      <c r="AZ97" t="s">
        <v>74</v>
      </c>
      <c r="BA97" t="s">
        <v>74</v>
      </c>
      <c r="BB97">
        <v>1079</v>
      </c>
      <c r="BC97">
        <v>1098</v>
      </c>
      <c r="BD97" t="s">
        <v>74</v>
      </c>
      <c r="BE97" t="s">
        <v>1617</v>
      </c>
      <c r="BF97" t="str">
        <f>HYPERLINK("http://dx.doi.org/10.1016/S0967-0637(03)00050-5","http://dx.doi.org/10.1016/S0967-0637(03)00050-5")</f>
        <v>http://dx.doi.org/10.1016/S0967-0637(03)00050-5</v>
      </c>
      <c r="BG97" t="s">
        <v>74</v>
      </c>
      <c r="BH97" t="s">
        <v>74</v>
      </c>
      <c r="BI97">
        <v>20</v>
      </c>
      <c r="BJ97" t="s">
        <v>678</v>
      </c>
      <c r="BK97" t="s">
        <v>94</v>
      </c>
      <c r="BL97" t="s">
        <v>678</v>
      </c>
      <c r="BM97" t="s">
        <v>1618</v>
      </c>
      <c r="BN97" t="s">
        <v>74</v>
      </c>
      <c r="BO97" t="s">
        <v>1619</v>
      </c>
      <c r="BP97" t="s">
        <v>74</v>
      </c>
      <c r="BQ97" t="s">
        <v>74</v>
      </c>
      <c r="BR97" t="s">
        <v>97</v>
      </c>
      <c r="BS97" t="s">
        <v>1620</v>
      </c>
      <c r="BT97" t="str">
        <f>HYPERLINK("https%3A%2F%2Fwww.webofscience.com%2Fwos%2Fwoscc%2Ffull-record%2FWOS:000188458700003","View Full Record in Web of Science")</f>
        <v>View Full Record in Web of Science</v>
      </c>
    </row>
    <row r="98" spans="1:72" x14ac:dyDescent="0.15">
      <c r="A98" t="s">
        <v>72</v>
      </c>
      <c r="B98" t="s">
        <v>1621</v>
      </c>
      <c r="C98" t="s">
        <v>74</v>
      </c>
      <c r="D98" t="s">
        <v>74</v>
      </c>
      <c r="E98" t="s">
        <v>74</v>
      </c>
      <c r="F98" t="s">
        <v>1621</v>
      </c>
      <c r="G98" t="s">
        <v>74</v>
      </c>
      <c r="H98" t="s">
        <v>74</v>
      </c>
      <c r="I98" t="s">
        <v>1622</v>
      </c>
      <c r="J98" t="s">
        <v>1623</v>
      </c>
      <c r="K98" t="s">
        <v>74</v>
      </c>
      <c r="L98" t="s">
        <v>74</v>
      </c>
      <c r="M98" t="s">
        <v>77</v>
      </c>
      <c r="N98" t="s">
        <v>78</v>
      </c>
      <c r="O98" t="s">
        <v>74</v>
      </c>
      <c r="P98" t="s">
        <v>74</v>
      </c>
      <c r="Q98" t="s">
        <v>74</v>
      </c>
      <c r="R98" t="s">
        <v>74</v>
      </c>
      <c r="S98" t="s">
        <v>74</v>
      </c>
      <c r="T98" t="s">
        <v>1624</v>
      </c>
      <c r="U98" t="s">
        <v>1625</v>
      </c>
      <c r="V98" t="s">
        <v>1626</v>
      </c>
      <c r="W98" t="s">
        <v>1627</v>
      </c>
      <c r="X98" t="s">
        <v>1628</v>
      </c>
      <c r="Y98" t="s">
        <v>1629</v>
      </c>
      <c r="Z98" t="s">
        <v>1630</v>
      </c>
      <c r="AA98" t="s">
        <v>74</v>
      </c>
      <c r="AB98" t="s">
        <v>74</v>
      </c>
      <c r="AC98" t="s">
        <v>74</v>
      </c>
      <c r="AD98" t="s">
        <v>74</v>
      </c>
      <c r="AE98" t="s">
        <v>74</v>
      </c>
      <c r="AF98" t="s">
        <v>74</v>
      </c>
      <c r="AG98">
        <v>49</v>
      </c>
      <c r="AH98">
        <v>21</v>
      </c>
      <c r="AI98">
        <v>22</v>
      </c>
      <c r="AJ98">
        <v>0</v>
      </c>
      <c r="AK98">
        <v>15</v>
      </c>
      <c r="AL98" t="s">
        <v>207</v>
      </c>
      <c r="AM98" t="s">
        <v>208</v>
      </c>
      <c r="AN98" t="s">
        <v>209</v>
      </c>
      <c r="AO98" t="s">
        <v>1631</v>
      </c>
      <c r="AP98" t="s">
        <v>1632</v>
      </c>
      <c r="AQ98" t="s">
        <v>74</v>
      </c>
      <c r="AR98" t="s">
        <v>1633</v>
      </c>
      <c r="AS98" t="s">
        <v>1634</v>
      </c>
      <c r="AT98" t="s">
        <v>1120</v>
      </c>
      <c r="AU98">
        <v>2003</v>
      </c>
      <c r="AV98">
        <v>25</v>
      </c>
      <c r="AW98">
        <v>3</v>
      </c>
      <c r="AX98" t="s">
        <v>74</v>
      </c>
      <c r="AY98" t="s">
        <v>74</v>
      </c>
      <c r="AZ98" t="s">
        <v>74</v>
      </c>
      <c r="BA98" t="s">
        <v>74</v>
      </c>
      <c r="BB98">
        <v>347</v>
      </c>
      <c r="BC98">
        <v>363</v>
      </c>
      <c r="BD98" t="s">
        <v>74</v>
      </c>
      <c r="BE98" t="s">
        <v>1635</v>
      </c>
      <c r="BF98" t="str">
        <f>HYPERLINK("http://dx.doi.org/10.1023/A:1024559809076","http://dx.doi.org/10.1023/A:1024559809076")</f>
        <v>http://dx.doi.org/10.1023/A:1024559809076</v>
      </c>
      <c r="BG98" t="s">
        <v>74</v>
      </c>
      <c r="BH98" t="s">
        <v>74</v>
      </c>
      <c r="BI98">
        <v>17</v>
      </c>
      <c r="BJ98" t="s">
        <v>1636</v>
      </c>
      <c r="BK98" t="s">
        <v>94</v>
      </c>
      <c r="BL98" t="s">
        <v>1637</v>
      </c>
      <c r="BM98" t="s">
        <v>1638</v>
      </c>
      <c r="BN98">
        <v>12971254</v>
      </c>
      <c r="BO98" t="s">
        <v>74</v>
      </c>
      <c r="BP98" t="s">
        <v>74</v>
      </c>
      <c r="BQ98" t="s">
        <v>74</v>
      </c>
      <c r="BR98" t="s">
        <v>97</v>
      </c>
      <c r="BS98" t="s">
        <v>1639</v>
      </c>
      <c r="BT98" t="str">
        <f>HYPERLINK("https%3A%2F%2Fwww.webofscience.com%2Fwos%2Fwoscc%2Ffull-record%2FWOS:000183904400005","View Full Record in Web of Science")</f>
        <v>View Full Record in Web of Science</v>
      </c>
    </row>
    <row r="99" spans="1:72" x14ac:dyDescent="0.15">
      <c r="A99" t="s">
        <v>72</v>
      </c>
      <c r="B99" t="s">
        <v>1640</v>
      </c>
      <c r="C99" t="s">
        <v>74</v>
      </c>
      <c r="D99" t="s">
        <v>74</v>
      </c>
      <c r="E99" t="s">
        <v>74</v>
      </c>
      <c r="F99" t="s">
        <v>1640</v>
      </c>
      <c r="G99" t="s">
        <v>74</v>
      </c>
      <c r="H99" t="s">
        <v>74</v>
      </c>
      <c r="I99" t="s">
        <v>1641</v>
      </c>
      <c r="J99" t="s">
        <v>1642</v>
      </c>
      <c r="K99" t="s">
        <v>74</v>
      </c>
      <c r="L99" t="s">
        <v>74</v>
      </c>
      <c r="M99" t="s">
        <v>77</v>
      </c>
      <c r="N99" t="s">
        <v>78</v>
      </c>
      <c r="O99" t="s">
        <v>74</v>
      </c>
      <c r="P99" t="s">
        <v>74</v>
      </c>
      <c r="Q99" t="s">
        <v>74</v>
      </c>
      <c r="R99" t="s">
        <v>74</v>
      </c>
      <c r="S99" t="s">
        <v>74</v>
      </c>
      <c r="T99" t="s">
        <v>1643</v>
      </c>
      <c r="U99" t="s">
        <v>1644</v>
      </c>
      <c r="V99" t="s">
        <v>1645</v>
      </c>
      <c r="W99" t="s">
        <v>1646</v>
      </c>
      <c r="X99" t="s">
        <v>1647</v>
      </c>
      <c r="Y99" t="s">
        <v>1648</v>
      </c>
      <c r="Z99" t="s">
        <v>74</v>
      </c>
      <c r="AA99" t="s">
        <v>1649</v>
      </c>
      <c r="AB99" t="s">
        <v>1650</v>
      </c>
      <c r="AC99" t="s">
        <v>74</v>
      </c>
      <c r="AD99" t="s">
        <v>74</v>
      </c>
      <c r="AE99" t="s">
        <v>74</v>
      </c>
      <c r="AF99" t="s">
        <v>74</v>
      </c>
      <c r="AG99">
        <v>9</v>
      </c>
      <c r="AH99">
        <v>30</v>
      </c>
      <c r="AI99">
        <v>31</v>
      </c>
      <c r="AJ99">
        <v>0</v>
      </c>
      <c r="AK99">
        <v>19</v>
      </c>
      <c r="AL99" t="s">
        <v>1651</v>
      </c>
      <c r="AM99" t="s">
        <v>1652</v>
      </c>
      <c r="AN99" t="s">
        <v>1653</v>
      </c>
      <c r="AO99" t="s">
        <v>1654</v>
      </c>
      <c r="AP99" t="s">
        <v>74</v>
      </c>
      <c r="AQ99" t="s">
        <v>74</v>
      </c>
      <c r="AR99" t="s">
        <v>1655</v>
      </c>
      <c r="AS99" t="s">
        <v>1656</v>
      </c>
      <c r="AT99" t="s">
        <v>1120</v>
      </c>
      <c r="AU99">
        <v>2003</v>
      </c>
      <c r="AV99">
        <v>20</v>
      </c>
      <c r="AW99">
        <v>9</v>
      </c>
      <c r="AX99" t="s">
        <v>74</v>
      </c>
      <c r="AY99" t="s">
        <v>74</v>
      </c>
      <c r="AZ99" t="s">
        <v>74</v>
      </c>
      <c r="BA99" t="s">
        <v>74</v>
      </c>
      <c r="BB99">
        <v>813</v>
      </c>
      <c r="BC99">
        <v>818</v>
      </c>
      <c r="BD99" t="s">
        <v>74</v>
      </c>
      <c r="BE99" t="s">
        <v>1657</v>
      </c>
      <c r="BF99" t="str">
        <f>HYPERLINK("http://dx.doi.org/10.1080/0265203031000152398","http://dx.doi.org/10.1080/0265203031000152398")</f>
        <v>http://dx.doi.org/10.1080/0265203031000152398</v>
      </c>
      <c r="BG99" t="s">
        <v>74</v>
      </c>
      <c r="BH99" t="s">
        <v>74</v>
      </c>
      <c r="BI99">
        <v>6</v>
      </c>
      <c r="BJ99" t="s">
        <v>1658</v>
      </c>
      <c r="BK99" t="s">
        <v>94</v>
      </c>
      <c r="BL99" t="s">
        <v>1659</v>
      </c>
      <c r="BM99" t="s">
        <v>1660</v>
      </c>
      <c r="BN99">
        <v>13129776</v>
      </c>
      <c r="BO99" t="s">
        <v>74</v>
      </c>
      <c r="BP99" t="s">
        <v>74</v>
      </c>
      <c r="BQ99" t="s">
        <v>74</v>
      </c>
      <c r="BR99" t="s">
        <v>97</v>
      </c>
      <c r="BS99" t="s">
        <v>1661</v>
      </c>
      <c r="BT99" t="str">
        <f>HYPERLINK("https%3A%2F%2Fwww.webofscience.com%2Fwos%2Fwoscc%2Ffull-record%2FWOS:000185386600005","View Full Record in Web of Science")</f>
        <v>View Full Record in Web of Science</v>
      </c>
    </row>
    <row r="100" spans="1:72" x14ac:dyDescent="0.15">
      <c r="A100" t="s">
        <v>72</v>
      </c>
      <c r="B100" t="s">
        <v>1662</v>
      </c>
      <c r="C100" t="s">
        <v>74</v>
      </c>
      <c r="D100" t="s">
        <v>74</v>
      </c>
      <c r="E100" t="s">
        <v>74</v>
      </c>
      <c r="F100" t="s">
        <v>1662</v>
      </c>
      <c r="G100" t="s">
        <v>74</v>
      </c>
      <c r="H100" t="s">
        <v>74</v>
      </c>
      <c r="I100" t="s">
        <v>1663</v>
      </c>
      <c r="J100" t="s">
        <v>1664</v>
      </c>
      <c r="K100" t="s">
        <v>74</v>
      </c>
      <c r="L100" t="s">
        <v>74</v>
      </c>
      <c r="M100" t="s">
        <v>77</v>
      </c>
      <c r="N100" t="s">
        <v>78</v>
      </c>
      <c r="O100" t="s">
        <v>74</v>
      </c>
      <c r="P100" t="s">
        <v>74</v>
      </c>
      <c r="Q100" t="s">
        <v>74</v>
      </c>
      <c r="R100" t="s">
        <v>74</v>
      </c>
      <c r="S100" t="s">
        <v>74</v>
      </c>
      <c r="T100" t="s">
        <v>74</v>
      </c>
      <c r="U100" t="s">
        <v>1665</v>
      </c>
      <c r="V100" t="s">
        <v>1666</v>
      </c>
      <c r="W100" t="s">
        <v>1667</v>
      </c>
      <c r="X100" t="s">
        <v>1668</v>
      </c>
      <c r="Y100" t="s">
        <v>1669</v>
      </c>
      <c r="Z100" t="s">
        <v>1670</v>
      </c>
      <c r="AA100" t="s">
        <v>1671</v>
      </c>
      <c r="AB100" t="s">
        <v>1672</v>
      </c>
      <c r="AC100" t="s">
        <v>74</v>
      </c>
      <c r="AD100" t="s">
        <v>74</v>
      </c>
      <c r="AE100" t="s">
        <v>74</v>
      </c>
      <c r="AF100" t="s">
        <v>74</v>
      </c>
      <c r="AG100">
        <v>64</v>
      </c>
      <c r="AH100">
        <v>18</v>
      </c>
      <c r="AI100">
        <v>19</v>
      </c>
      <c r="AJ100">
        <v>1</v>
      </c>
      <c r="AK100">
        <v>5</v>
      </c>
      <c r="AL100" t="s">
        <v>169</v>
      </c>
      <c r="AM100" t="s">
        <v>170</v>
      </c>
      <c r="AN100" t="s">
        <v>171</v>
      </c>
      <c r="AO100" t="s">
        <v>1673</v>
      </c>
      <c r="AP100" t="s">
        <v>1674</v>
      </c>
      <c r="AQ100" t="s">
        <v>74</v>
      </c>
      <c r="AR100" t="s">
        <v>1675</v>
      </c>
      <c r="AS100" t="s">
        <v>1676</v>
      </c>
      <c r="AT100" t="s">
        <v>1120</v>
      </c>
      <c r="AU100">
        <v>2003</v>
      </c>
      <c r="AV100">
        <v>67</v>
      </c>
      <c r="AW100">
        <v>17</v>
      </c>
      <c r="AX100" t="s">
        <v>74</v>
      </c>
      <c r="AY100" t="s">
        <v>74</v>
      </c>
      <c r="AZ100" t="s">
        <v>74</v>
      </c>
      <c r="BA100" t="s">
        <v>74</v>
      </c>
      <c r="BB100">
        <v>3247</v>
      </c>
      <c r="BC100">
        <v>3256</v>
      </c>
      <c r="BD100" t="s">
        <v>1677</v>
      </c>
      <c r="BE100" t="s">
        <v>1678</v>
      </c>
      <c r="BF100" t="str">
        <f>HYPERLINK("http://dx.doi.org/10.1016/S0016-7037(02)01114-6","http://dx.doi.org/10.1016/S0016-7037(02)01114-6")</f>
        <v>http://dx.doi.org/10.1016/S0016-7037(02)01114-6</v>
      </c>
      <c r="BG100" t="s">
        <v>74</v>
      </c>
      <c r="BH100" t="s">
        <v>74</v>
      </c>
      <c r="BI100">
        <v>10</v>
      </c>
      <c r="BJ100" t="s">
        <v>176</v>
      </c>
      <c r="BK100" t="s">
        <v>94</v>
      </c>
      <c r="BL100" t="s">
        <v>176</v>
      </c>
      <c r="BM100" t="s">
        <v>1679</v>
      </c>
      <c r="BN100" t="s">
        <v>74</v>
      </c>
      <c r="BO100" t="s">
        <v>974</v>
      </c>
      <c r="BP100" t="s">
        <v>74</v>
      </c>
      <c r="BQ100" t="s">
        <v>74</v>
      </c>
      <c r="BR100" t="s">
        <v>97</v>
      </c>
      <c r="BS100" t="s">
        <v>1680</v>
      </c>
      <c r="BT100" t="str">
        <f>HYPERLINK("https%3A%2F%2Fwww.webofscience.com%2Fwos%2Fwoscc%2Ffull-record%2FWOS:000185111200011","View Full Record in Web of Science")</f>
        <v>View Full Record in Web of Science</v>
      </c>
    </row>
    <row r="101" spans="1:72" x14ac:dyDescent="0.15">
      <c r="A101" t="s">
        <v>72</v>
      </c>
      <c r="B101" t="s">
        <v>1681</v>
      </c>
      <c r="C101" t="s">
        <v>74</v>
      </c>
      <c r="D101" t="s">
        <v>74</v>
      </c>
      <c r="E101" t="s">
        <v>74</v>
      </c>
      <c r="F101" t="s">
        <v>1681</v>
      </c>
      <c r="G101" t="s">
        <v>74</v>
      </c>
      <c r="H101" t="s">
        <v>74</v>
      </c>
      <c r="I101" t="s">
        <v>1682</v>
      </c>
      <c r="J101" t="s">
        <v>1664</v>
      </c>
      <c r="K101" t="s">
        <v>74</v>
      </c>
      <c r="L101" t="s">
        <v>74</v>
      </c>
      <c r="M101" t="s">
        <v>77</v>
      </c>
      <c r="N101" t="s">
        <v>52</v>
      </c>
      <c r="O101" t="s">
        <v>1683</v>
      </c>
      <c r="P101" t="s">
        <v>1684</v>
      </c>
      <c r="Q101" t="s">
        <v>1685</v>
      </c>
      <c r="R101" t="s">
        <v>74</v>
      </c>
      <c r="S101" t="s">
        <v>74</v>
      </c>
      <c r="T101" t="s">
        <v>74</v>
      </c>
      <c r="U101" t="s">
        <v>74</v>
      </c>
      <c r="V101" t="s">
        <v>74</v>
      </c>
      <c r="W101" t="s">
        <v>1686</v>
      </c>
      <c r="X101" t="s">
        <v>1687</v>
      </c>
      <c r="Y101" t="s">
        <v>74</v>
      </c>
      <c r="Z101" t="s">
        <v>1688</v>
      </c>
      <c r="AA101" t="s">
        <v>74</v>
      </c>
      <c r="AB101" t="s">
        <v>74</v>
      </c>
      <c r="AC101" t="s">
        <v>74</v>
      </c>
      <c r="AD101" t="s">
        <v>74</v>
      </c>
      <c r="AE101" t="s">
        <v>74</v>
      </c>
      <c r="AF101" t="s">
        <v>74</v>
      </c>
      <c r="AG101">
        <v>1</v>
      </c>
      <c r="AH101">
        <v>0</v>
      </c>
      <c r="AI101">
        <v>0</v>
      </c>
      <c r="AJ101">
        <v>0</v>
      </c>
      <c r="AK101">
        <v>0</v>
      </c>
      <c r="AL101" t="s">
        <v>169</v>
      </c>
      <c r="AM101" t="s">
        <v>170</v>
      </c>
      <c r="AN101" t="s">
        <v>171</v>
      </c>
      <c r="AO101" t="s">
        <v>1673</v>
      </c>
      <c r="AP101" t="s">
        <v>74</v>
      </c>
      <c r="AQ101" t="s">
        <v>74</v>
      </c>
      <c r="AR101" t="s">
        <v>1675</v>
      </c>
      <c r="AS101" t="s">
        <v>1676</v>
      </c>
      <c r="AT101" t="s">
        <v>1120</v>
      </c>
      <c r="AU101">
        <v>2003</v>
      </c>
      <c r="AV101">
        <v>67</v>
      </c>
      <c r="AW101">
        <v>18</v>
      </c>
      <c r="AX101" t="s">
        <v>74</v>
      </c>
      <c r="AY101">
        <v>1</v>
      </c>
      <c r="AZ101" t="s">
        <v>74</v>
      </c>
      <c r="BA101" t="s">
        <v>74</v>
      </c>
      <c r="BB101" t="s">
        <v>1689</v>
      </c>
      <c r="BC101" t="s">
        <v>1689</v>
      </c>
      <c r="BD101" t="s">
        <v>74</v>
      </c>
      <c r="BE101" t="s">
        <v>74</v>
      </c>
      <c r="BF101" t="s">
        <v>74</v>
      </c>
      <c r="BG101" t="s">
        <v>74</v>
      </c>
      <c r="BH101" t="s">
        <v>74</v>
      </c>
      <c r="BI101">
        <v>1</v>
      </c>
      <c r="BJ101" t="s">
        <v>176</v>
      </c>
      <c r="BK101" t="s">
        <v>177</v>
      </c>
      <c r="BL101" t="s">
        <v>176</v>
      </c>
      <c r="BM101" t="s">
        <v>1690</v>
      </c>
      <c r="BN101" t="s">
        <v>74</v>
      </c>
      <c r="BO101" t="s">
        <v>74</v>
      </c>
      <c r="BP101" t="s">
        <v>74</v>
      </c>
      <c r="BQ101" t="s">
        <v>74</v>
      </c>
      <c r="BR101" t="s">
        <v>97</v>
      </c>
      <c r="BS101" t="s">
        <v>1691</v>
      </c>
      <c r="BT101" t="str">
        <f>HYPERLINK("https%3A%2F%2Fwww.webofscience.com%2Fwos%2Fwoscc%2Ffull-record%2FWOS:000185517600016","View Full Record in Web of Science")</f>
        <v>View Full Record in Web of Science</v>
      </c>
    </row>
    <row r="102" spans="1:72" x14ac:dyDescent="0.15">
      <c r="A102" t="s">
        <v>72</v>
      </c>
      <c r="B102" t="s">
        <v>1692</v>
      </c>
      <c r="C102" t="s">
        <v>74</v>
      </c>
      <c r="D102" t="s">
        <v>74</v>
      </c>
      <c r="E102" t="s">
        <v>74</v>
      </c>
      <c r="F102" t="s">
        <v>1692</v>
      </c>
      <c r="G102" t="s">
        <v>74</v>
      </c>
      <c r="H102" t="s">
        <v>74</v>
      </c>
      <c r="I102" t="s">
        <v>1693</v>
      </c>
      <c r="J102" t="s">
        <v>1664</v>
      </c>
      <c r="K102" t="s">
        <v>74</v>
      </c>
      <c r="L102" t="s">
        <v>74</v>
      </c>
      <c r="M102" t="s">
        <v>77</v>
      </c>
      <c r="N102" t="s">
        <v>52</v>
      </c>
      <c r="O102" t="s">
        <v>1683</v>
      </c>
      <c r="P102" t="s">
        <v>1684</v>
      </c>
      <c r="Q102" t="s">
        <v>1685</v>
      </c>
      <c r="R102" t="s">
        <v>74</v>
      </c>
      <c r="S102" t="s">
        <v>74</v>
      </c>
      <c r="T102" t="s">
        <v>74</v>
      </c>
      <c r="U102" t="s">
        <v>74</v>
      </c>
      <c r="V102" t="s">
        <v>74</v>
      </c>
      <c r="W102" t="s">
        <v>1694</v>
      </c>
      <c r="X102" t="s">
        <v>1695</v>
      </c>
      <c r="Y102" t="s">
        <v>74</v>
      </c>
      <c r="Z102" t="s">
        <v>1696</v>
      </c>
      <c r="AA102" t="s">
        <v>1697</v>
      </c>
      <c r="AB102" t="s">
        <v>74</v>
      </c>
      <c r="AC102" t="s">
        <v>74</v>
      </c>
      <c r="AD102" t="s">
        <v>74</v>
      </c>
      <c r="AE102" t="s">
        <v>74</v>
      </c>
      <c r="AF102" t="s">
        <v>74</v>
      </c>
      <c r="AG102">
        <v>2</v>
      </c>
      <c r="AH102">
        <v>3</v>
      </c>
      <c r="AI102">
        <v>4</v>
      </c>
      <c r="AJ102">
        <v>0</v>
      </c>
      <c r="AK102">
        <v>6</v>
      </c>
      <c r="AL102" t="s">
        <v>169</v>
      </c>
      <c r="AM102" t="s">
        <v>170</v>
      </c>
      <c r="AN102" t="s">
        <v>171</v>
      </c>
      <c r="AO102" t="s">
        <v>1673</v>
      </c>
      <c r="AP102" t="s">
        <v>74</v>
      </c>
      <c r="AQ102" t="s">
        <v>74</v>
      </c>
      <c r="AR102" t="s">
        <v>1675</v>
      </c>
      <c r="AS102" t="s">
        <v>1676</v>
      </c>
      <c r="AT102" t="s">
        <v>1120</v>
      </c>
      <c r="AU102">
        <v>2003</v>
      </c>
      <c r="AV102">
        <v>67</v>
      </c>
      <c r="AW102">
        <v>18</v>
      </c>
      <c r="AX102" t="s">
        <v>74</v>
      </c>
      <c r="AY102">
        <v>1</v>
      </c>
      <c r="AZ102" t="s">
        <v>74</v>
      </c>
      <c r="BA102" t="s">
        <v>74</v>
      </c>
      <c r="BB102" t="s">
        <v>1698</v>
      </c>
      <c r="BC102" t="s">
        <v>1698</v>
      </c>
      <c r="BD102" t="s">
        <v>74</v>
      </c>
      <c r="BE102" t="s">
        <v>74</v>
      </c>
      <c r="BF102" t="s">
        <v>74</v>
      </c>
      <c r="BG102" t="s">
        <v>74</v>
      </c>
      <c r="BH102" t="s">
        <v>74</v>
      </c>
      <c r="BI102">
        <v>1</v>
      </c>
      <c r="BJ102" t="s">
        <v>176</v>
      </c>
      <c r="BK102" t="s">
        <v>177</v>
      </c>
      <c r="BL102" t="s">
        <v>176</v>
      </c>
      <c r="BM102" t="s">
        <v>1690</v>
      </c>
      <c r="BN102" t="s">
        <v>74</v>
      </c>
      <c r="BO102" t="s">
        <v>74</v>
      </c>
      <c r="BP102" t="s">
        <v>74</v>
      </c>
      <c r="BQ102" t="s">
        <v>74</v>
      </c>
      <c r="BR102" t="s">
        <v>97</v>
      </c>
      <c r="BS102" t="s">
        <v>1699</v>
      </c>
      <c r="BT102" t="str">
        <f>HYPERLINK("https%3A%2F%2Fwww.webofscience.com%2Fwos%2Fwoscc%2Ffull-record%2FWOS:000185517600082","View Full Record in Web of Science")</f>
        <v>View Full Record in Web of Science</v>
      </c>
    </row>
    <row r="103" spans="1:72" x14ac:dyDescent="0.15">
      <c r="A103" t="s">
        <v>72</v>
      </c>
      <c r="B103" t="s">
        <v>1700</v>
      </c>
      <c r="C103" t="s">
        <v>74</v>
      </c>
      <c r="D103" t="s">
        <v>74</v>
      </c>
      <c r="E103" t="s">
        <v>74</v>
      </c>
      <c r="F103" t="s">
        <v>1700</v>
      </c>
      <c r="G103" t="s">
        <v>74</v>
      </c>
      <c r="H103" t="s">
        <v>74</v>
      </c>
      <c r="I103" t="s">
        <v>1701</v>
      </c>
      <c r="J103" t="s">
        <v>1664</v>
      </c>
      <c r="K103" t="s">
        <v>74</v>
      </c>
      <c r="L103" t="s">
        <v>74</v>
      </c>
      <c r="M103" t="s">
        <v>77</v>
      </c>
      <c r="N103" t="s">
        <v>52</v>
      </c>
      <c r="O103" t="s">
        <v>1683</v>
      </c>
      <c r="P103" t="s">
        <v>1684</v>
      </c>
      <c r="Q103" t="s">
        <v>1685</v>
      </c>
      <c r="R103" t="s">
        <v>74</v>
      </c>
      <c r="S103" t="s">
        <v>74</v>
      </c>
      <c r="T103" t="s">
        <v>74</v>
      </c>
      <c r="U103" t="s">
        <v>74</v>
      </c>
      <c r="V103" t="s">
        <v>74</v>
      </c>
      <c r="W103" t="s">
        <v>1702</v>
      </c>
      <c r="X103" t="s">
        <v>1703</v>
      </c>
      <c r="Y103" t="s">
        <v>74</v>
      </c>
      <c r="Z103" t="s">
        <v>1704</v>
      </c>
      <c r="AA103" t="s">
        <v>74</v>
      </c>
      <c r="AB103" t="s">
        <v>1705</v>
      </c>
      <c r="AC103" t="s">
        <v>74</v>
      </c>
      <c r="AD103" t="s">
        <v>74</v>
      </c>
      <c r="AE103" t="s">
        <v>74</v>
      </c>
      <c r="AF103" t="s">
        <v>74</v>
      </c>
      <c r="AG103">
        <v>3</v>
      </c>
      <c r="AH103">
        <v>0</v>
      </c>
      <c r="AI103">
        <v>0</v>
      </c>
      <c r="AJ103">
        <v>0</v>
      </c>
      <c r="AK103">
        <v>1</v>
      </c>
      <c r="AL103" t="s">
        <v>169</v>
      </c>
      <c r="AM103" t="s">
        <v>170</v>
      </c>
      <c r="AN103" t="s">
        <v>171</v>
      </c>
      <c r="AO103" t="s">
        <v>1673</v>
      </c>
      <c r="AP103" t="s">
        <v>1674</v>
      </c>
      <c r="AQ103" t="s">
        <v>74</v>
      </c>
      <c r="AR103" t="s">
        <v>1675</v>
      </c>
      <c r="AS103" t="s">
        <v>1676</v>
      </c>
      <c r="AT103" t="s">
        <v>1120</v>
      </c>
      <c r="AU103">
        <v>2003</v>
      </c>
      <c r="AV103">
        <v>67</v>
      </c>
      <c r="AW103">
        <v>18</v>
      </c>
      <c r="AX103" t="s">
        <v>74</v>
      </c>
      <c r="AY103">
        <v>1</v>
      </c>
      <c r="AZ103" t="s">
        <v>74</v>
      </c>
      <c r="BA103" t="s">
        <v>74</v>
      </c>
      <c r="BB103" t="s">
        <v>1706</v>
      </c>
      <c r="BC103" t="s">
        <v>1706</v>
      </c>
      <c r="BD103" t="s">
        <v>74</v>
      </c>
      <c r="BE103" t="s">
        <v>74</v>
      </c>
      <c r="BF103" t="s">
        <v>74</v>
      </c>
      <c r="BG103" t="s">
        <v>74</v>
      </c>
      <c r="BH103" t="s">
        <v>74</v>
      </c>
      <c r="BI103">
        <v>1</v>
      </c>
      <c r="BJ103" t="s">
        <v>176</v>
      </c>
      <c r="BK103" t="s">
        <v>177</v>
      </c>
      <c r="BL103" t="s">
        <v>176</v>
      </c>
      <c r="BM103" t="s">
        <v>1690</v>
      </c>
      <c r="BN103" t="s">
        <v>74</v>
      </c>
      <c r="BO103" t="s">
        <v>74</v>
      </c>
      <c r="BP103" t="s">
        <v>74</v>
      </c>
      <c r="BQ103" t="s">
        <v>74</v>
      </c>
      <c r="BR103" t="s">
        <v>97</v>
      </c>
      <c r="BS103" t="s">
        <v>1707</v>
      </c>
      <c r="BT103" t="str">
        <f>HYPERLINK("https%3A%2F%2Fwww.webofscience.com%2Fwos%2Fwoscc%2Ffull-record%2FWOS:000185517600258","View Full Record in Web of Science")</f>
        <v>View Full Record in Web of Science</v>
      </c>
    </row>
    <row r="104" spans="1:72" x14ac:dyDescent="0.15">
      <c r="A104" t="s">
        <v>72</v>
      </c>
      <c r="B104" t="s">
        <v>1708</v>
      </c>
      <c r="C104" t="s">
        <v>74</v>
      </c>
      <c r="D104" t="s">
        <v>74</v>
      </c>
      <c r="E104" t="s">
        <v>74</v>
      </c>
      <c r="F104" t="s">
        <v>1708</v>
      </c>
      <c r="G104" t="s">
        <v>74</v>
      </c>
      <c r="H104" t="s">
        <v>74</v>
      </c>
      <c r="I104" t="s">
        <v>1709</v>
      </c>
      <c r="J104" t="s">
        <v>1664</v>
      </c>
      <c r="K104" t="s">
        <v>74</v>
      </c>
      <c r="L104" t="s">
        <v>74</v>
      </c>
      <c r="M104" t="s">
        <v>77</v>
      </c>
      <c r="N104" t="s">
        <v>52</v>
      </c>
      <c r="O104" t="s">
        <v>1683</v>
      </c>
      <c r="P104" t="s">
        <v>1684</v>
      </c>
      <c r="Q104" t="s">
        <v>1685</v>
      </c>
      <c r="R104" t="s">
        <v>74</v>
      </c>
      <c r="S104" t="s">
        <v>74</v>
      </c>
      <c r="T104" t="s">
        <v>74</v>
      </c>
      <c r="U104" t="s">
        <v>74</v>
      </c>
      <c r="V104" t="s">
        <v>74</v>
      </c>
      <c r="W104" t="s">
        <v>1710</v>
      </c>
      <c r="X104" t="s">
        <v>1711</v>
      </c>
      <c r="Y104" t="s">
        <v>74</v>
      </c>
      <c r="Z104" t="s">
        <v>1712</v>
      </c>
      <c r="AA104" t="s">
        <v>74</v>
      </c>
      <c r="AB104" t="s">
        <v>74</v>
      </c>
      <c r="AC104" t="s">
        <v>74</v>
      </c>
      <c r="AD104" t="s">
        <v>74</v>
      </c>
      <c r="AE104" t="s">
        <v>74</v>
      </c>
      <c r="AF104" t="s">
        <v>74</v>
      </c>
      <c r="AG104">
        <v>5</v>
      </c>
      <c r="AH104">
        <v>0</v>
      </c>
      <c r="AI104">
        <v>0</v>
      </c>
      <c r="AJ104">
        <v>0</v>
      </c>
      <c r="AK104">
        <v>1</v>
      </c>
      <c r="AL104" t="s">
        <v>169</v>
      </c>
      <c r="AM104" t="s">
        <v>170</v>
      </c>
      <c r="AN104" t="s">
        <v>171</v>
      </c>
      <c r="AO104" t="s">
        <v>1673</v>
      </c>
      <c r="AP104" t="s">
        <v>74</v>
      </c>
      <c r="AQ104" t="s">
        <v>74</v>
      </c>
      <c r="AR104" t="s">
        <v>1675</v>
      </c>
      <c r="AS104" t="s">
        <v>1676</v>
      </c>
      <c r="AT104" t="s">
        <v>1120</v>
      </c>
      <c r="AU104">
        <v>2003</v>
      </c>
      <c r="AV104">
        <v>67</v>
      </c>
      <c r="AW104">
        <v>18</v>
      </c>
      <c r="AX104" t="s">
        <v>74</v>
      </c>
      <c r="AY104">
        <v>1</v>
      </c>
      <c r="AZ104" t="s">
        <v>74</v>
      </c>
      <c r="BA104" t="s">
        <v>74</v>
      </c>
      <c r="BB104" t="s">
        <v>1713</v>
      </c>
      <c r="BC104" t="s">
        <v>1713</v>
      </c>
      <c r="BD104" t="s">
        <v>74</v>
      </c>
      <c r="BE104" t="s">
        <v>74</v>
      </c>
      <c r="BF104" t="s">
        <v>74</v>
      </c>
      <c r="BG104" t="s">
        <v>74</v>
      </c>
      <c r="BH104" t="s">
        <v>74</v>
      </c>
      <c r="BI104">
        <v>1</v>
      </c>
      <c r="BJ104" t="s">
        <v>176</v>
      </c>
      <c r="BK104" t="s">
        <v>177</v>
      </c>
      <c r="BL104" t="s">
        <v>176</v>
      </c>
      <c r="BM104" t="s">
        <v>1690</v>
      </c>
      <c r="BN104" t="s">
        <v>74</v>
      </c>
      <c r="BO104" t="s">
        <v>74</v>
      </c>
      <c r="BP104" t="s">
        <v>74</v>
      </c>
      <c r="BQ104" t="s">
        <v>74</v>
      </c>
      <c r="BR104" t="s">
        <v>97</v>
      </c>
      <c r="BS104" t="s">
        <v>1714</v>
      </c>
      <c r="BT104" t="str">
        <f>HYPERLINK("https%3A%2F%2Fwww.webofscience.com%2Fwos%2Fwoscc%2Ffull-record%2FWOS:000185517600628","View Full Record in Web of Science")</f>
        <v>View Full Record in Web of Science</v>
      </c>
    </row>
    <row r="105" spans="1:72" x14ac:dyDescent="0.15">
      <c r="A105" t="s">
        <v>72</v>
      </c>
      <c r="B105" t="s">
        <v>1715</v>
      </c>
      <c r="C105" t="s">
        <v>74</v>
      </c>
      <c r="D105" t="s">
        <v>74</v>
      </c>
      <c r="E105" t="s">
        <v>74</v>
      </c>
      <c r="F105" t="s">
        <v>1715</v>
      </c>
      <c r="G105" t="s">
        <v>74</v>
      </c>
      <c r="H105" t="s">
        <v>74</v>
      </c>
      <c r="I105" t="s">
        <v>1716</v>
      </c>
      <c r="J105" t="s">
        <v>1664</v>
      </c>
      <c r="K105" t="s">
        <v>74</v>
      </c>
      <c r="L105" t="s">
        <v>74</v>
      </c>
      <c r="M105" t="s">
        <v>77</v>
      </c>
      <c r="N105" t="s">
        <v>52</v>
      </c>
      <c r="O105" t="s">
        <v>1683</v>
      </c>
      <c r="P105" t="s">
        <v>1684</v>
      </c>
      <c r="Q105" t="s">
        <v>1685</v>
      </c>
      <c r="R105" t="s">
        <v>74</v>
      </c>
      <c r="S105" t="s">
        <v>74</v>
      </c>
      <c r="T105" t="s">
        <v>74</v>
      </c>
      <c r="U105" t="s">
        <v>74</v>
      </c>
      <c r="V105" t="s">
        <v>74</v>
      </c>
      <c r="W105" t="s">
        <v>1717</v>
      </c>
      <c r="X105" t="s">
        <v>1718</v>
      </c>
      <c r="Y105" t="s">
        <v>74</v>
      </c>
      <c r="Z105" t="s">
        <v>1719</v>
      </c>
      <c r="AA105" t="s">
        <v>74</v>
      </c>
      <c r="AB105" t="s">
        <v>74</v>
      </c>
      <c r="AC105" t="s">
        <v>74</v>
      </c>
      <c r="AD105" t="s">
        <v>74</v>
      </c>
      <c r="AE105" t="s">
        <v>74</v>
      </c>
      <c r="AF105" t="s">
        <v>74</v>
      </c>
      <c r="AG105">
        <v>0</v>
      </c>
      <c r="AH105">
        <v>0</v>
      </c>
      <c r="AI105">
        <v>0</v>
      </c>
      <c r="AJ105">
        <v>0</v>
      </c>
      <c r="AK105">
        <v>0</v>
      </c>
      <c r="AL105" t="s">
        <v>169</v>
      </c>
      <c r="AM105" t="s">
        <v>170</v>
      </c>
      <c r="AN105" t="s">
        <v>171</v>
      </c>
      <c r="AO105" t="s">
        <v>1673</v>
      </c>
      <c r="AP105" t="s">
        <v>74</v>
      </c>
      <c r="AQ105" t="s">
        <v>74</v>
      </c>
      <c r="AR105" t="s">
        <v>1675</v>
      </c>
      <c r="AS105" t="s">
        <v>1676</v>
      </c>
      <c r="AT105" t="s">
        <v>1120</v>
      </c>
      <c r="AU105">
        <v>2003</v>
      </c>
      <c r="AV105">
        <v>67</v>
      </c>
      <c r="AW105">
        <v>18</v>
      </c>
      <c r="AX105" t="s">
        <v>74</v>
      </c>
      <c r="AY105">
        <v>1</v>
      </c>
      <c r="AZ105" t="s">
        <v>74</v>
      </c>
      <c r="BA105" t="s">
        <v>74</v>
      </c>
      <c r="BB105" t="s">
        <v>1720</v>
      </c>
      <c r="BC105" t="s">
        <v>1720</v>
      </c>
      <c r="BD105" t="s">
        <v>74</v>
      </c>
      <c r="BE105" t="s">
        <v>74</v>
      </c>
      <c r="BF105" t="s">
        <v>74</v>
      </c>
      <c r="BG105" t="s">
        <v>74</v>
      </c>
      <c r="BH105" t="s">
        <v>74</v>
      </c>
      <c r="BI105">
        <v>1</v>
      </c>
      <c r="BJ105" t="s">
        <v>176</v>
      </c>
      <c r="BK105" t="s">
        <v>177</v>
      </c>
      <c r="BL105" t="s">
        <v>176</v>
      </c>
      <c r="BM105" t="s">
        <v>1690</v>
      </c>
      <c r="BN105" t="s">
        <v>74</v>
      </c>
      <c r="BO105" t="s">
        <v>74</v>
      </c>
      <c r="BP105" t="s">
        <v>74</v>
      </c>
      <c r="BQ105" t="s">
        <v>74</v>
      </c>
      <c r="BR105" t="s">
        <v>97</v>
      </c>
      <c r="BS105" t="s">
        <v>1721</v>
      </c>
      <c r="BT105" t="str">
        <f>HYPERLINK("https%3A%2F%2Fwww.webofscience.com%2Fwos%2Fwoscc%2Ffull-record%2FWOS:000185517600908","View Full Record in Web of Science")</f>
        <v>View Full Record in Web of Science</v>
      </c>
    </row>
    <row r="106" spans="1:72" x14ac:dyDescent="0.15">
      <c r="A106" t="s">
        <v>72</v>
      </c>
      <c r="B106" t="s">
        <v>1722</v>
      </c>
      <c r="C106" t="s">
        <v>74</v>
      </c>
      <c r="D106" t="s">
        <v>74</v>
      </c>
      <c r="E106" t="s">
        <v>74</v>
      </c>
      <c r="F106" t="s">
        <v>1722</v>
      </c>
      <c r="G106" t="s">
        <v>74</v>
      </c>
      <c r="H106" t="s">
        <v>74</v>
      </c>
      <c r="I106" t="s">
        <v>1723</v>
      </c>
      <c r="J106" t="s">
        <v>1664</v>
      </c>
      <c r="K106" t="s">
        <v>74</v>
      </c>
      <c r="L106" t="s">
        <v>74</v>
      </c>
      <c r="M106" t="s">
        <v>77</v>
      </c>
      <c r="N106" t="s">
        <v>52</v>
      </c>
      <c r="O106" t="s">
        <v>1683</v>
      </c>
      <c r="P106" t="s">
        <v>1684</v>
      </c>
      <c r="Q106" t="s">
        <v>1685</v>
      </c>
      <c r="R106" t="s">
        <v>74</v>
      </c>
      <c r="S106" t="s">
        <v>74</v>
      </c>
      <c r="T106" t="s">
        <v>74</v>
      </c>
      <c r="U106" t="s">
        <v>74</v>
      </c>
      <c r="V106" t="s">
        <v>74</v>
      </c>
      <c r="W106" t="s">
        <v>1724</v>
      </c>
      <c r="X106" t="s">
        <v>1725</v>
      </c>
      <c r="Y106" t="s">
        <v>74</v>
      </c>
      <c r="Z106" t="s">
        <v>1726</v>
      </c>
      <c r="AA106" t="s">
        <v>74</v>
      </c>
      <c r="AB106" t="s">
        <v>74</v>
      </c>
      <c r="AC106" t="s">
        <v>74</v>
      </c>
      <c r="AD106" t="s">
        <v>74</v>
      </c>
      <c r="AE106" t="s">
        <v>74</v>
      </c>
      <c r="AF106" t="s">
        <v>74</v>
      </c>
      <c r="AG106">
        <v>0</v>
      </c>
      <c r="AH106">
        <v>0</v>
      </c>
      <c r="AI106">
        <v>0</v>
      </c>
      <c r="AJ106">
        <v>0</v>
      </c>
      <c r="AK106">
        <v>0</v>
      </c>
      <c r="AL106" t="s">
        <v>169</v>
      </c>
      <c r="AM106" t="s">
        <v>170</v>
      </c>
      <c r="AN106" t="s">
        <v>171</v>
      </c>
      <c r="AO106" t="s">
        <v>1673</v>
      </c>
      <c r="AP106" t="s">
        <v>74</v>
      </c>
      <c r="AQ106" t="s">
        <v>74</v>
      </c>
      <c r="AR106" t="s">
        <v>1675</v>
      </c>
      <c r="AS106" t="s">
        <v>1676</v>
      </c>
      <c r="AT106" t="s">
        <v>1120</v>
      </c>
      <c r="AU106">
        <v>2003</v>
      </c>
      <c r="AV106">
        <v>67</v>
      </c>
      <c r="AW106">
        <v>18</v>
      </c>
      <c r="AX106" t="s">
        <v>74</v>
      </c>
      <c r="AY106">
        <v>1</v>
      </c>
      <c r="AZ106" t="s">
        <v>74</v>
      </c>
      <c r="BA106" t="s">
        <v>74</v>
      </c>
      <c r="BB106" t="s">
        <v>1727</v>
      </c>
      <c r="BC106" t="s">
        <v>1727</v>
      </c>
      <c r="BD106" t="s">
        <v>74</v>
      </c>
      <c r="BE106" t="s">
        <v>74</v>
      </c>
      <c r="BF106" t="s">
        <v>74</v>
      </c>
      <c r="BG106" t="s">
        <v>74</v>
      </c>
      <c r="BH106" t="s">
        <v>74</v>
      </c>
      <c r="BI106">
        <v>1</v>
      </c>
      <c r="BJ106" t="s">
        <v>176</v>
      </c>
      <c r="BK106" t="s">
        <v>177</v>
      </c>
      <c r="BL106" t="s">
        <v>176</v>
      </c>
      <c r="BM106" t="s">
        <v>1690</v>
      </c>
      <c r="BN106" t="s">
        <v>74</v>
      </c>
      <c r="BO106" t="s">
        <v>74</v>
      </c>
      <c r="BP106" t="s">
        <v>74</v>
      </c>
      <c r="BQ106" t="s">
        <v>74</v>
      </c>
      <c r="BR106" t="s">
        <v>97</v>
      </c>
      <c r="BS106" t="s">
        <v>1728</v>
      </c>
      <c r="BT106" t="str">
        <f>HYPERLINK("https%3A%2F%2Fwww.webofscience.com%2Fwos%2Fwoscc%2Ffull-record%2FWOS:000185517600916","View Full Record in Web of Science")</f>
        <v>View Full Record in Web of Science</v>
      </c>
    </row>
    <row r="107" spans="1:72" x14ac:dyDescent="0.15">
      <c r="A107" t="s">
        <v>72</v>
      </c>
      <c r="B107" t="s">
        <v>1729</v>
      </c>
      <c r="C107" t="s">
        <v>74</v>
      </c>
      <c r="D107" t="s">
        <v>74</v>
      </c>
      <c r="E107" t="s">
        <v>74</v>
      </c>
      <c r="F107" t="s">
        <v>1729</v>
      </c>
      <c r="G107" t="s">
        <v>74</v>
      </c>
      <c r="H107" t="s">
        <v>74</v>
      </c>
      <c r="I107" t="s">
        <v>1730</v>
      </c>
      <c r="J107" t="s">
        <v>1664</v>
      </c>
      <c r="K107" t="s">
        <v>74</v>
      </c>
      <c r="L107" t="s">
        <v>74</v>
      </c>
      <c r="M107" t="s">
        <v>77</v>
      </c>
      <c r="N107" t="s">
        <v>52</v>
      </c>
      <c r="O107" t="s">
        <v>1683</v>
      </c>
      <c r="P107" t="s">
        <v>1684</v>
      </c>
      <c r="Q107" t="s">
        <v>1685</v>
      </c>
      <c r="R107" t="s">
        <v>74</v>
      </c>
      <c r="S107" t="s">
        <v>74</v>
      </c>
      <c r="T107" t="s">
        <v>74</v>
      </c>
      <c r="U107" t="s">
        <v>74</v>
      </c>
      <c r="V107" t="s">
        <v>74</v>
      </c>
      <c r="W107" t="s">
        <v>1731</v>
      </c>
      <c r="X107" t="s">
        <v>1732</v>
      </c>
      <c r="Y107" t="s">
        <v>74</v>
      </c>
      <c r="Z107" t="s">
        <v>1733</v>
      </c>
      <c r="AA107" t="s">
        <v>74</v>
      </c>
      <c r="AB107" t="s">
        <v>74</v>
      </c>
      <c r="AC107" t="s">
        <v>74</v>
      </c>
      <c r="AD107" t="s">
        <v>74</v>
      </c>
      <c r="AE107" t="s">
        <v>74</v>
      </c>
      <c r="AF107" t="s">
        <v>74</v>
      </c>
      <c r="AG107">
        <v>5</v>
      </c>
      <c r="AH107">
        <v>3</v>
      </c>
      <c r="AI107">
        <v>3</v>
      </c>
      <c r="AJ107">
        <v>0</v>
      </c>
      <c r="AK107">
        <v>4</v>
      </c>
      <c r="AL107" t="s">
        <v>169</v>
      </c>
      <c r="AM107" t="s">
        <v>170</v>
      </c>
      <c r="AN107" t="s">
        <v>171</v>
      </c>
      <c r="AO107" t="s">
        <v>1673</v>
      </c>
      <c r="AP107" t="s">
        <v>1674</v>
      </c>
      <c r="AQ107" t="s">
        <v>74</v>
      </c>
      <c r="AR107" t="s">
        <v>1675</v>
      </c>
      <c r="AS107" t="s">
        <v>1676</v>
      </c>
      <c r="AT107" t="s">
        <v>1120</v>
      </c>
      <c r="AU107">
        <v>2003</v>
      </c>
      <c r="AV107">
        <v>67</v>
      </c>
      <c r="AW107">
        <v>18</v>
      </c>
      <c r="AX107" t="s">
        <v>74</v>
      </c>
      <c r="AY107">
        <v>1</v>
      </c>
      <c r="AZ107" t="s">
        <v>74</v>
      </c>
      <c r="BA107" t="s">
        <v>74</v>
      </c>
      <c r="BB107" t="s">
        <v>1734</v>
      </c>
      <c r="BC107" t="s">
        <v>1734</v>
      </c>
      <c r="BD107" t="s">
        <v>74</v>
      </c>
      <c r="BE107" t="s">
        <v>74</v>
      </c>
      <c r="BF107" t="s">
        <v>74</v>
      </c>
      <c r="BG107" t="s">
        <v>74</v>
      </c>
      <c r="BH107" t="s">
        <v>74</v>
      </c>
      <c r="BI107">
        <v>1</v>
      </c>
      <c r="BJ107" t="s">
        <v>176</v>
      </c>
      <c r="BK107" t="s">
        <v>177</v>
      </c>
      <c r="BL107" t="s">
        <v>176</v>
      </c>
      <c r="BM107" t="s">
        <v>1690</v>
      </c>
      <c r="BN107" t="s">
        <v>74</v>
      </c>
      <c r="BO107" t="s">
        <v>74</v>
      </c>
      <c r="BP107" t="s">
        <v>74</v>
      </c>
      <c r="BQ107" t="s">
        <v>74</v>
      </c>
      <c r="BR107" t="s">
        <v>97</v>
      </c>
      <c r="BS107" t="s">
        <v>1735</v>
      </c>
      <c r="BT107" t="str">
        <f>HYPERLINK("https%3A%2F%2Fwww.webofscience.com%2Fwos%2Fwoscc%2Ffull-record%2FWOS:000185517600958","View Full Record in Web of Science")</f>
        <v>View Full Record in Web of Science</v>
      </c>
    </row>
    <row r="108" spans="1:72" x14ac:dyDescent="0.15">
      <c r="A108" t="s">
        <v>72</v>
      </c>
      <c r="B108" t="s">
        <v>1736</v>
      </c>
      <c r="C108" t="s">
        <v>74</v>
      </c>
      <c r="D108" t="s">
        <v>74</v>
      </c>
      <c r="E108" t="s">
        <v>74</v>
      </c>
      <c r="F108" t="s">
        <v>1736</v>
      </c>
      <c r="G108" t="s">
        <v>74</v>
      </c>
      <c r="H108" t="s">
        <v>74</v>
      </c>
      <c r="I108" t="s">
        <v>1737</v>
      </c>
      <c r="J108" t="s">
        <v>1738</v>
      </c>
      <c r="K108" t="s">
        <v>74</v>
      </c>
      <c r="L108" t="s">
        <v>74</v>
      </c>
      <c r="M108" t="s">
        <v>77</v>
      </c>
      <c r="N108" t="s">
        <v>78</v>
      </c>
      <c r="O108" t="s">
        <v>74</v>
      </c>
      <c r="P108" t="s">
        <v>74</v>
      </c>
      <c r="Q108" t="s">
        <v>74</v>
      </c>
      <c r="R108" t="s">
        <v>74</v>
      </c>
      <c r="S108" t="s">
        <v>74</v>
      </c>
      <c r="T108" t="s">
        <v>1739</v>
      </c>
      <c r="U108" t="s">
        <v>1740</v>
      </c>
      <c r="V108" t="s">
        <v>1741</v>
      </c>
      <c r="W108" t="s">
        <v>1742</v>
      </c>
      <c r="X108" t="s">
        <v>1743</v>
      </c>
      <c r="Y108" t="s">
        <v>1744</v>
      </c>
      <c r="Z108" t="s">
        <v>74</v>
      </c>
      <c r="AA108" t="s">
        <v>1745</v>
      </c>
      <c r="AB108" t="s">
        <v>1746</v>
      </c>
      <c r="AC108" t="s">
        <v>74</v>
      </c>
      <c r="AD108" t="s">
        <v>74</v>
      </c>
      <c r="AE108" t="s">
        <v>74</v>
      </c>
      <c r="AF108" t="s">
        <v>74</v>
      </c>
      <c r="AG108">
        <v>29</v>
      </c>
      <c r="AH108">
        <v>108</v>
      </c>
      <c r="AI108">
        <v>126</v>
      </c>
      <c r="AJ108">
        <v>0</v>
      </c>
      <c r="AK108">
        <v>20</v>
      </c>
      <c r="AL108" t="s">
        <v>1747</v>
      </c>
      <c r="AM108" t="s">
        <v>1748</v>
      </c>
      <c r="AN108" t="s">
        <v>1749</v>
      </c>
      <c r="AO108" t="s">
        <v>1750</v>
      </c>
      <c r="AP108" t="s">
        <v>1751</v>
      </c>
      <c r="AQ108" t="s">
        <v>74</v>
      </c>
      <c r="AR108" t="s">
        <v>1738</v>
      </c>
      <c r="AS108" t="s">
        <v>549</v>
      </c>
      <c r="AT108" t="s">
        <v>1120</v>
      </c>
      <c r="AU108">
        <v>2003</v>
      </c>
      <c r="AV108">
        <v>31</v>
      </c>
      <c r="AW108">
        <v>9</v>
      </c>
      <c r="AX108" t="s">
        <v>74</v>
      </c>
      <c r="AY108" t="s">
        <v>74</v>
      </c>
      <c r="AZ108" t="s">
        <v>74</v>
      </c>
      <c r="BA108" t="s">
        <v>74</v>
      </c>
      <c r="BB108">
        <v>749</v>
      </c>
      <c r="BC108">
        <v>752</v>
      </c>
      <c r="BD108" t="s">
        <v>74</v>
      </c>
      <c r="BE108" t="s">
        <v>1752</v>
      </c>
      <c r="BF108" t="str">
        <f>HYPERLINK("http://dx.doi.org/10.1130/G19643.1","http://dx.doi.org/10.1130/G19643.1")</f>
        <v>http://dx.doi.org/10.1130/G19643.1</v>
      </c>
      <c r="BG108" t="s">
        <v>74</v>
      </c>
      <c r="BH108" t="s">
        <v>74</v>
      </c>
      <c r="BI108">
        <v>4</v>
      </c>
      <c r="BJ108" t="s">
        <v>549</v>
      </c>
      <c r="BK108" t="s">
        <v>94</v>
      </c>
      <c r="BL108" t="s">
        <v>549</v>
      </c>
      <c r="BM108" t="s">
        <v>1753</v>
      </c>
      <c r="BN108" t="s">
        <v>74</v>
      </c>
      <c r="BO108" t="s">
        <v>74</v>
      </c>
      <c r="BP108" t="s">
        <v>74</v>
      </c>
      <c r="BQ108" t="s">
        <v>74</v>
      </c>
      <c r="BR108" t="s">
        <v>97</v>
      </c>
      <c r="BS108" t="s">
        <v>1754</v>
      </c>
      <c r="BT108" t="str">
        <f>HYPERLINK("https%3A%2F%2Fwww.webofscience.com%2Fwos%2Fwoscc%2Ffull-record%2FWOS:000185084800004","View Full Record in Web of Science")</f>
        <v>View Full Record in Web of Science</v>
      </c>
    </row>
    <row r="109" spans="1:72" x14ac:dyDescent="0.15">
      <c r="A109" t="s">
        <v>72</v>
      </c>
      <c r="B109" t="s">
        <v>1755</v>
      </c>
      <c r="C109" t="s">
        <v>74</v>
      </c>
      <c r="D109" t="s">
        <v>74</v>
      </c>
      <c r="E109" t="s">
        <v>74</v>
      </c>
      <c r="F109" t="s">
        <v>1755</v>
      </c>
      <c r="G109" t="s">
        <v>74</v>
      </c>
      <c r="H109" t="s">
        <v>74</v>
      </c>
      <c r="I109" t="s">
        <v>1756</v>
      </c>
      <c r="J109" t="s">
        <v>1738</v>
      </c>
      <c r="K109" t="s">
        <v>74</v>
      </c>
      <c r="L109" t="s">
        <v>74</v>
      </c>
      <c r="M109" t="s">
        <v>77</v>
      </c>
      <c r="N109" t="s">
        <v>78</v>
      </c>
      <c r="O109" t="s">
        <v>74</v>
      </c>
      <c r="P109" t="s">
        <v>74</v>
      </c>
      <c r="Q109" t="s">
        <v>74</v>
      </c>
      <c r="R109" t="s">
        <v>74</v>
      </c>
      <c r="S109" t="s">
        <v>74</v>
      </c>
      <c r="T109" t="s">
        <v>1757</v>
      </c>
      <c r="U109" t="s">
        <v>1758</v>
      </c>
      <c r="V109" t="s">
        <v>1759</v>
      </c>
      <c r="W109" t="s">
        <v>1760</v>
      </c>
      <c r="X109" t="s">
        <v>1761</v>
      </c>
      <c r="Y109" t="s">
        <v>1762</v>
      </c>
      <c r="Z109" t="s">
        <v>74</v>
      </c>
      <c r="AA109" t="s">
        <v>1763</v>
      </c>
      <c r="AB109" t="s">
        <v>1764</v>
      </c>
      <c r="AC109" t="s">
        <v>74</v>
      </c>
      <c r="AD109" t="s">
        <v>74</v>
      </c>
      <c r="AE109" t="s">
        <v>74</v>
      </c>
      <c r="AF109" t="s">
        <v>74</v>
      </c>
      <c r="AG109">
        <v>24</v>
      </c>
      <c r="AH109">
        <v>36</v>
      </c>
      <c r="AI109">
        <v>38</v>
      </c>
      <c r="AJ109">
        <v>0</v>
      </c>
      <c r="AK109">
        <v>8</v>
      </c>
      <c r="AL109" t="s">
        <v>1765</v>
      </c>
      <c r="AM109" t="s">
        <v>1748</v>
      </c>
      <c r="AN109" t="s">
        <v>1749</v>
      </c>
      <c r="AO109" t="s">
        <v>1750</v>
      </c>
      <c r="AP109" t="s">
        <v>74</v>
      </c>
      <c r="AQ109" t="s">
        <v>74</v>
      </c>
      <c r="AR109" t="s">
        <v>1738</v>
      </c>
      <c r="AS109" t="s">
        <v>549</v>
      </c>
      <c r="AT109" t="s">
        <v>1120</v>
      </c>
      <c r="AU109">
        <v>2003</v>
      </c>
      <c r="AV109">
        <v>31</v>
      </c>
      <c r="AW109">
        <v>9</v>
      </c>
      <c r="AX109" t="s">
        <v>74</v>
      </c>
      <c r="AY109" t="s">
        <v>74</v>
      </c>
      <c r="AZ109" t="s">
        <v>74</v>
      </c>
      <c r="BA109" t="s">
        <v>74</v>
      </c>
      <c r="BB109">
        <v>777</v>
      </c>
      <c r="BC109">
        <v>780</v>
      </c>
      <c r="BD109" t="s">
        <v>74</v>
      </c>
      <c r="BE109" t="s">
        <v>1766</v>
      </c>
      <c r="BF109" t="str">
        <f>HYPERLINK("http://dx.doi.org/10.1130/G19574.1","http://dx.doi.org/10.1130/G19574.1")</f>
        <v>http://dx.doi.org/10.1130/G19574.1</v>
      </c>
      <c r="BG109" t="s">
        <v>74</v>
      </c>
      <c r="BH109" t="s">
        <v>74</v>
      </c>
      <c r="BI109">
        <v>4</v>
      </c>
      <c r="BJ109" t="s">
        <v>549</v>
      </c>
      <c r="BK109" t="s">
        <v>94</v>
      </c>
      <c r="BL109" t="s">
        <v>549</v>
      </c>
      <c r="BM109" t="s">
        <v>1753</v>
      </c>
      <c r="BN109" t="s">
        <v>74</v>
      </c>
      <c r="BO109" t="s">
        <v>1767</v>
      </c>
      <c r="BP109" t="s">
        <v>74</v>
      </c>
      <c r="BQ109" t="s">
        <v>74</v>
      </c>
      <c r="BR109" t="s">
        <v>97</v>
      </c>
      <c r="BS109" t="s">
        <v>1768</v>
      </c>
      <c r="BT109" t="str">
        <f>HYPERLINK("https%3A%2F%2Fwww.webofscience.com%2Fwos%2Fwoscc%2Ffull-record%2FWOS:000185084800011","View Full Record in Web of Science")</f>
        <v>View Full Record in Web of Science</v>
      </c>
    </row>
    <row r="110" spans="1:72" x14ac:dyDescent="0.15">
      <c r="A110" t="s">
        <v>72</v>
      </c>
      <c r="B110" t="s">
        <v>1769</v>
      </c>
      <c r="C110" t="s">
        <v>74</v>
      </c>
      <c r="D110" t="s">
        <v>74</v>
      </c>
      <c r="E110" t="s">
        <v>74</v>
      </c>
      <c r="F110" t="s">
        <v>1769</v>
      </c>
      <c r="G110" t="s">
        <v>74</v>
      </c>
      <c r="H110" t="s">
        <v>74</v>
      </c>
      <c r="I110" t="s">
        <v>1770</v>
      </c>
      <c r="J110" t="s">
        <v>1738</v>
      </c>
      <c r="K110" t="s">
        <v>74</v>
      </c>
      <c r="L110" t="s">
        <v>74</v>
      </c>
      <c r="M110" t="s">
        <v>77</v>
      </c>
      <c r="N110" t="s">
        <v>78</v>
      </c>
      <c r="O110" t="s">
        <v>74</v>
      </c>
      <c r="P110" t="s">
        <v>74</v>
      </c>
      <c r="Q110" t="s">
        <v>74</v>
      </c>
      <c r="R110" t="s">
        <v>74</v>
      </c>
      <c r="S110" t="s">
        <v>74</v>
      </c>
      <c r="T110" t="s">
        <v>1771</v>
      </c>
      <c r="U110" t="s">
        <v>1772</v>
      </c>
      <c r="V110" t="s">
        <v>1773</v>
      </c>
      <c r="W110" t="s">
        <v>1774</v>
      </c>
      <c r="X110" t="s">
        <v>1775</v>
      </c>
      <c r="Y110" t="s">
        <v>1776</v>
      </c>
      <c r="Z110" t="s">
        <v>74</v>
      </c>
      <c r="AA110" t="s">
        <v>74</v>
      </c>
      <c r="AB110" t="s">
        <v>74</v>
      </c>
      <c r="AC110" t="s">
        <v>74</v>
      </c>
      <c r="AD110" t="s">
        <v>74</v>
      </c>
      <c r="AE110" t="s">
        <v>74</v>
      </c>
      <c r="AF110" t="s">
        <v>74</v>
      </c>
      <c r="AG110">
        <v>31</v>
      </c>
      <c r="AH110">
        <v>15</v>
      </c>
      <c r="AI110">
        <v>15</v>
      </c>
      <c r="AJ110">
        <v>0</v>
      </c>
      <c r="AK110">
        <v>4</v>
      </c>
      <c r="AL110" t="s">
        <v>1747</v>
      </c>
      <c r="AM110" t="s">
        <v>1748</v>
      </c>
      <c r="AN110" t="s">
        <v>1749</v>
      </c>
      <c r="AO110" t="s">
        <v>1750</v>
      </c>
      <c r="AP110" t="s">
        <v>1751</v>
      </c>
      <c r="AQ110" t="s">
        <v>74</v>
      </c>
      <c r="AR110" t="s">
        <v>1738</v>
      </c>
      <c r="AS110" t="s">
        <v>549</v>
      </c>
      <c r="AT110" t="s">
        <v>1120</v>
      </c>
      <c r="AU110">
        <v>2003</v>
      </c>
      <c r="AV110">
        <v>31</v>
      </c>
      <c r="AW110">
        <v>9</v>
      </c>
      <c r="AX110" t="s">
        <v>74</v>
      </c>
      <c r="AY110" t="s">
        <v>74</v>
      </c>
      <c r="AZ110" t="s">
        <v>74</v>
      </c>
      <c r="BA110" t="s">
        <v>74</v>
      </c>
      <c r="BB110">
        <v>821</v>
      </c>
      <c r="BC110">
        <v>824</v>
      </c>
      <c r="BD110" t="s">
        <v>74</v>
      </c>
      <c r="BE110" t="s">
        <v>1777</v>
      </c>
      <c r="BF110" t="str">
        <f>HYPERLINK("http://dx.doi.org/10.1130/G19686.1","http://dx.doi.org/10.1130/G19686.1")</f>
        <v>http://dx.doi.org/10.1130/G19686.1</v>
      </c>
      <c r="BG110" t="s">
        <v>74</v>
      </c>
      <c r="BH110" t="s">
        <v>74</v>
      </c>
      <c r="BI110">
        <v>4</v>
      </c>
      <c r="BJ110" t="s">
        <v>549</v>
      </c>
      <c r="BK110" t="s">
        <v>94</v>
      </c>
      <c r="BL110" t="s">
        <v>549</v>
      </c>
      <c r="BM110" t="s">
        <v>1753</v>
      </c>
      <c r="BN110" t="s">
        <v>74</v>
      </c>
      <c r="BO110" t="s">
        <v>74</v>
      </c>
      <c r="BP110" t="s">
        <v>74</v>
      </c>
      <c r="BQ110" t="s">
        <v>74</v>
      </c>
      <c r="BR110" t="s">
        <v>97</v>
      </c>
      <c r="BS110" t="s">
        <v>1778</v>
      </c>
      <c r="BT110" t="str">
        <f>HYPERLINK("https%3A%2F%2Fwww.webofscience.com%2Fwos%2Fwoscc%2Ffull-record%2FWOS:000185084800022","View Full Record in Web of Science")</f>
        <v>View Full Record in Web of Science</v>
      </c>
    </row>
    <row r="111" spans="1:72" x14ac:dyDescent="0.15">
      <c r="A111" t="s">
        <v>72</v>
      </c>
      <c r="B111" t="s">
        <v>1779</v>
      </c>
      <c r="C111" t="s">
        <v>74</v>
      </c>
      <c r="D111" t="s">
        <v>74</v>
      </c>
      <c r="E111" t="s">
        <v>74</v>
      </c>
      <c r="F111" t="s">
        <v>1779</v>
      </c>
      <c r="G111" t="s">
        <v>74</v>
      </c>
      <c r="H111" t="s">
        <v>74</v>
      </c>
      <c r="I111" t="s">
        <v>1780</v>
      </c>
      <c r="J111" t="s">
        <v>1781</v>
      </c>
      <c r="K111" t="s">
        <v>74</v>
      </c>
      <c r="L111" t="s">
        <v>74</v>
      </c>
      <c r="M111" t="s">
        <v>77</v>
      </c>
      <c r="N111" t="s">
        <v>78</v>
      </c>
      <c r="O111" t="s">
        <v>74</v>
      </c>
      <c r="P111" t="s">
        <v>74</v>
      </c>
      <c r="Q111" t="s">
        <v>74</v>
      </c>
      <c r="R111" t="s">
        <v>74</v>
      </c>
      <c r="S111" t="s">
        <v>74</v>
      </c>
      <c r="T111" t="s">
        <v>74</v>
      </c>
      <c r="U111" t="s">
        <v>1782</v>
      </c>
      <c r="V111" t="s">
        <v>1783</v>
      </c>
      <c r="W111" t="s">
        <v>1784</v>
      </c>
      <c r="X111" t="s">
        <v>1785</v>
      </c>
      <c r="Y111" t="s">
        <v>1786</v>
      </c>
      <c r="Z111" t="s">
        <v>74</v>
      </c>
      <c r="AA111" t="s">
        <v>1787</v>
      </c>
      <c r="AB111" t="s">
        <v>1788</v>
      </c>
      <c r="AC111" t="s">
        <v>74</v>
      </c>
      <c r="AD111" t="s">
        <v>74</v>
      </c>
      <c r="AE111" t="s">
        <v>74</v>
      </c>
      <c r="AF111" t="s">
        <v>74</v>
      </c>
      <c r="AG111">
        <v>13</v>
      </c>
      <c r="AH111">
        <v>0</v>
      </c>
      <c r="AI111">
        <v>0</v>
      </c>
      <c r="AJ111">
        <v>0</v>
      </c>
      <c r="AK111">
        <v>2</v>
      </c>
      <c r="AL111" t="s">
        <v>1789</v>
      </c>
      <c r="AM111" t="s">
        <v>1790</v>
      </c>
      <c r="AN111" t="s">
        <v>1791</v>
      </c>
      <c r="AO111" t="s">
        <v>1792</v>
      </c>
      <c r="AP111" t="s">
        <v>74</v>
      </c>
      <c r="AQ111" t="s">
        <v>74</v>
      </c>
      <c r="AR111" t="s">
        <v>1793</v>
      </c>
      <c r="AS111" t="s">
        <v>1794</v>
      </c>
      <c r="AT111" t="s">
        <v>1795</v>
      </c>
      <c r="AU111">
        <v>2003</v>
      </c>
      <c r="AV111">
        <v>43</v>
      </c>
      <c r="AW111">
        <v>5</v>
      </c>
      <c r="AX111" t="s">
        <v>74</v>
      </c>
      <c r="AY111" t="s">
        <v>74</v>
      </c>
      <c r="AZ111" t="s">
        <v>74</v>
      </c>
      <c r="BA111" t="s">
        <v>74</v>
      </c>
      <c r="BB111">
        <v>541</v>
      </c>
      <c r="BC111">
        <v>546</v>
      </c>
      <c r="BD111" t="s">
        <v>74</v>
      </c>
      <c r="BE111" t="s">
        <v>74</v>
      </c>
      <c r="BF111" t="s">
        <v>74</v>
      </c>
      <c r="BG111" t="s">
        <v>74</v>
      </c>
      <c r="BH111" t="s">
        <v>74</v>
      </c>
      <c r="BI111">
        <v>6</v>
      </c>
      <c r="BJ111" t="s">
        <v>176</v>
      </c>
      <c r="BK111" t="s">
        <v>94</v>
      </c>
      <c r="BL111" t="s">
        <v>176</v>
      </c>
      <c r="BM111" t="s">
        <v>1796</v>
      </c>
      <c r="BN111" t="s">
        <v>74</v>
      </c>
      <c r="BO111" t="s">
        <v>74</v>
      </c>
      <c r="BP111" t="s">
        <v>74</v>
      </c>
      <c r="BQ111" t="s">
        <v>74</v>
      </c>
      <c r="BR111" t="s">
        <v>97</v>
      </c>
      <c r="BS111" t="s">
        <v>1797</v>
      </c>
      <c r="BT111" t="str">
        <f>HYPERLINK("https%3A%2F%2Fwww.webofscience.com%2Fwos%2Fwoscc%2Ffull-record%2FWOS:000185969900001","View Full Record in Web of Science")</f>
        <v>View Full Record in Web of Science</v>
      </c>
    </row>
    <row r="112" spans="1:72" x14ac:dyDescent="0.15">
      <c r="A112" t="s">
        <v>72</v>
      </c>
      <c r="B112" t="s">
        <v>1798</v>
      </c>
      <c r="C112" t="s">
        <v>74</v>
      </c>
      <c r="D112" t="s">
        <v>74</v>
      </c>
      <c r="E112" t="s">
        <v>74</v>
      </c>
      <c r="F112" t="s">
        <v>1798</v>
      </c>
      <c r="G112" t="s">
        <v>74</v>
      </c>
      <c r="H112" t="s">
        <v>74</v>
      </c>
      <c r="I112" t="s">
        <v>1799</v>
      </c>
      <c r="J112" t="s">
        <v>1781</v>
      </c>
      <c r="K112" t="s">
        <v>74</v>
      </c>
      <c r="L112" t="s">
        <v>74</v>
      </c>
      <c r="M112" t="s">
        <v>77</v>
      </c>
      <c r="N112" t="s">
        <v>78</v>
      </c>
      <c r="O112" t="s">
        <v>74</v>
      </c>
      <c r="P112" t="s">
        <v>74</v>
      </c>
      <c r="Q112" t="s">
        <v>74</v>
      </c>
      <c r="R112" t="s">
        <v>74</v>
      </c>
      <c r="S112" t="s">
        <v>74</v>
      </c>
      <c r="T112" t="s">
        <v>74</v>
      </c>
      <c r="U112" t="s">
        <v>1800</v>
      </c>
      <c r="V112" t="s">
        <v>1801</v>
      </c>
      <c r="W112" t="s">
        <v>1802</v>
      </c>
      <c r="X112" t="s">
        <v>1803</v>
      </c>
      <c r="Y112" t="s">
        <v>1804</v>
      </c>
      <c r="Z112" t="s">
        <v>74</v>
      </c>
      <c r="AA112" t="s">
        <v>1805</v>
      </c>
      <c r="AB112" t="s">
        <v>1806</v>
      </c>
      <c r="AC112" t="s">
        <v>74</v>
      </c>
      <c r="AD112" t="s">
        <v>74</v>
      </c>
      <c r="AE112" t="s">
        <v>74</v>
      </c>
      <c r="AF112" t="s">
        <v>74</v>
      </c>
      <c r="AG112">
        <v>12</v>
      </c>
      <c r="AH112">
        <v>0</v>
      </c>
      <c r="AI112">
        <v>0</v>
      </c>
      <c r="AJ112">
        <v>0</v>
      </c>
      <c r="AK112">
        <v>0</v>
      </c>
      <c r="AL112" t="s">
        <v>1789</v>
      </c>
      <c r="AM112" t="s">
        <v>1790</v>
      </c>
      <c r="AN112" t="s">
        <v>1791</v>
      </c>
      <c r="AO112" t="s">
        <v>1792</v>
      </c>
      <c r="AP112" t="s">
        <v>74</v>
      </c>
      <c r="AQ112" t="s">
        <v>74</v>
      </c>
      <c r="AR112" t="s">
        <v>1793</v>
      </c>
      <c r="AS112" t="s">
        <v>1794</v>
      </c>
      <c r="AT112" t="s">
        <v>1795</v>
      </c>
      <c r="AU112">
        <v>2003</v>
      </c>
      <c r="AV112">
        <v>43</v>
      </c>
      <c r="AW112">
        <v>5</v>
      </c>
      <c r="AX112" t="s">
        <v>74</v>
      </c>
      <c r="AY112" t="s">
        <v>74</v>
      </c>
      <c r="AZ112" t="s">
        <v>74</v>
      </c>
      <c r="BA112" t="s">
        <v>74</v>
      </c>
      <c r="BB112">
        <v>547</v>
      </c>
      <c r="BC112">
        <v>552</v>
      </c>
      <c r="BD112" t="s">
        <v>74</v>
      </c>
      <c r="BE112" t="s">
        <v>74</v>
      </c>
      <c r="BF112" t="s">
        <v>74</v>
      </c>
      <c r="BG112" t="s">
        <v>74</v>
      </c>
      <c r="BH112" t="s">
        <v>74</v>
      </c>
      <c r="BI112">
        <v>6</v>
      </c>
      <c r="BJ112" t="s">
        <v>176</v>
      </c>
      <c r="BK112" t="s">
        <v>94</v>
      </c>
      <c r="BL112" t="s">
        <v>176</v>
      </c>
      <c r="BM112" t="s">
        <v>1796</v>
      </c>
      <c r="BN112" t="s">
        <v>74</v>
      </c>
      <c r="BO112" t="s">
        <v>74</v>
      </c>
      <c r="BP112" t="s">
        <v>74</v>
      </c>
      <c r="BQ112" t="s">
        <v>74</v>
      </c>
      <c r="BR112" t="s">
        <v>97</v>
      </c>
      <c r="BS112" t="s">
        <v>1807</v>
      </c>
      <c r="BT112" t="str">
        <f>HYPERLINK("https%3A%2F%2Fwww.webofscience.com%2Fwos%2Fwoscc%2Ffull-record%2FWOS:000185969900002","View Full Record in Web of Science")</f>
        <v>View Full Record in Web of Science</v>
      </c>
    </row>
    <row r="113" spans="1:72" x14ac:dyDescent="0.15">
      <c r="A113" t="s">
        <v>72</v>
      </c>
      <c r="B113" t="s">
        <v>1808</v>
      </c>
      <c r="C113" t="s">
        <v>74</v>
      </c>
      <c r="D113" t="s">
        <v>74</v>
      </c>
      <c r="E113" t="s">
        <v>74</v>
      </c>
      <c r="F113" t="s">
        <v>1808</v>
      </c>
      <c r="G113" t="s">
        <v>74</v>
      </c>
      <c r="H113" t="s">
        <v>74</v>
      </c>
      <c r="I113" t="s">
        <v>1809</v>
      </c>
      <c r="J113" t="s">
        <v>1781</v>
      </c>
      <c r="K113" t="s">
        <v>74</v>
      </c>
      <c r="L113" t="s">
        <v>74</v>
      </c>
      <c r="M113" t="s">
        <v>77</v>
      </c>
      <c r="N113" t="s">
        <v>78</v>
      </c>
      <c r="O113" t="s">
        <v>74</v>
      </c>
      <c r="P113" t="s">
        <v>74</v>
      </c>
      <c r="Q113" t="s">
        <v>74</v>
      </c>
      <c r="R113" t="s">
        <v>74</v>
      </c>
      <c r="S113" t="s">
        <v>74</v>
      </c>
      <c r="T113" t="s">
        <v>74</v>
      </c>
      <c r="U113" t="s">
        <v>1810</v>
      </c>
      <c r="V113" t="s">
        <v>1811</v>
      </c>
      <c r="W113" t="s">
        <v>1812</v>
      </c>
      <c r="X113" t="s">
        <v>1813</v>
      </c>
      <c r="Y113" t="s">
        <v>1814</v>
      </c>
      <c r="Z113" t="s">
        <v>1815</v>
      </c>
      <c r="AA113" t="s">
        <v>1816</v>
      </c>
      <c r="AB113" t="s">
        <v>1042</v>
      </c>
      <c r="AC113" t="s">
        <v>74</v>
      </c>
      <c r="AD113" t="s">
        <v>74</v>
      </c>
      <c r="AE113" t="s">
        <v>74</v>
      </c>
      <c r="AF113" t="s">
        <v>74</v>
      </c>
      <c r="AG113">
        <v>18</v>
      </c>
      <c r="AH113">
        <v>0</v>
      </c>
      <c r="AI113">
        <v>0</v>
      </c>
      <c r="AJ113">
        <v>0</v>
      </c>
      <c r="AK113">
        <v>1</v>
      </c>
      <c r="AL113" t="s">
        <v>1817</v>
      </c>
      <c r="AM113" t="s">
        <v>229</v>
      </c>
      <c r="AN113" t="s">
        <v>1818</v>
      </c>
      <c r="AO113" t="s">
        <v>1792</v>
      </c>
      <c r="AP113" t="s">
        <v>1819</v>
      </c>
      <c r="AQ113" t="s">
        <v>74</v>
      </c>
      <c r="AR113" t="s">
        <v>1793</v>
      </c>
      <c r="AS113" t="s">
        <v>1794</v>
      </c>
      <c r="AT113" t="s">
        <v>1795</v>
      </c>
      <c r="AU113">
        <v>2003</v>
      </c>
      <c r="AV113">
        <v>43</v>
      </c>
      <c r="AW113">
        <v>5</v>
      </c>
      <c r="AX113" t="s">
        <v>74</v>
      </c>
      <c r="AY113" t="s">
        <v>74</v>
      </c>
      <c r="AZ113" t="s">
        <v>74</v>
      </c>
      <c r="BA113" t="s">
        <v>74</v>
      </c>
      <c r="BB113">
        <v>665</v>
      </c>
      <c r="BC113">
        <v>669</v>
      </c>
      <c r="BD113" t="s">
        <v>74</v>
      </c>
      <c r="BE113" t="s">
        <v>74</v>
      </c>
      <c r="BF113" t="s">
        <v>74</v>
      </c>
      <c r="BG113" t="s">
        <v>74</v>
      </c>
      <c r="BH113" t="s">
        <v>74</v>
      </c>
      <c r="BI113">
        <v>5</v>
      </c>
      <c r="BJ113" t="s">
        <v>176</v>
      </c>
      <c r="BK113" t="s">
        <v>94</v>
      </c>
      <c r="BL113" t="s">
        <v>176</v>
      </c>
      <c r="BM113" t="s">
        <v>1796</v>
      </c>
      <c r="BN113" t="s">
        <v>74</v>
      </c>
      <c r="BO113" t="s">
        <v>74</v>
      </c>
      <c r="BP113" t="s">
        <v>74</v>
      </c>
      <c r="BQ113" t="s">
        <v>74</v>
      </c>
      <c r="BR113" t="s">
        <v>97</v>
      </c>
      <c r="BS113" t="s">
        <v>1820</v>
      </c>
      <c r="BT113" t="str">
        <f>HYPERLINK("https%3A%2F%2Fwww.webofscience.com%2Fwos%2Fwoscc%2Ffull-record%2FWOS:000185969900019","View Full Record in Web of Science")</f>
        <v>View Full Record in Web of Science</v>
      </c>
    </row>
    <row r="114" spans="1:72" x14ac:dyDescent="0.15">
      <c r="A114" t="s">
        <v>72</v>
      </c>
      <c r="B114" t="s">
        <v>1821</v>
      </c>
      <c r="C114" t="s">
        <v>74</v>
      </c>
      <c r="D114" t="s">
        <v>74</v>
      </c>
      <c r="E114" t="s">
        <v>74</v>
      </c>
      <c r="F114" t="s">
        <v>1821</v>
      </c>
      <c r="G114" t="s">
        <v>74</v>
      </c>
      <c r="H114" t="s">
        <v>74</v>
      </c>
      <c r="I114" t="s">
        <v>1822</v>
      </c>
      <c r="J114" t="s">
        <v>1823</v>
      </c>
      <c r="K114" t="s">
        <v>74</v>
      </c>
      <c r="L114" t="s">
        <v>74</v>
      </c>
      <c r="M114" t="s">
        <v>77</v>
      </c>
      <c r="N114" t="s">
        <v>78</v>
      </c>
      <c r="O114" t="s">
        <v>74</v>
      </c>
      <c r="P114" t="s">
        <v>74</v>
      </c>
      <c r="Q114" t="s">
        <v>74</v>
      </c>
      <c r="R114" t="s">
        <v>74</v>
      </c>
      <c r="S114" t="s">
        <v>74</v>
      </c>
      <c r="T114" t="s">
        <v>1824</v>
      </c>
      <c r="U114" t="s">
        <v>1825</v>
      </c>
      <c r="V114" t="s">
        <v>1826</v>
      </c>
      <c r="W114" t="s">
        <v>1827</v>
      </c>
      <c r="X114" t="s">
        <v>1828</v>
      </c>
      <c r="Y114" t="s">
        <v>1829</v>
      </c>
      <c r="Z114" t="s">
        <v>1830</v>
      </c>
      <c r="AA114" t="s">
        <v>1831</v>
      </c>
      <c r="AB114" t="s">
        <v>1832</v>
      </c>
      <c r="AC114" t="s">
        <v>74</v>
      </c>
      <c r="AD114" t="s">
        <v>74</v>
      </c>
      <c r="AE114" t="s">
        <v>74</v>
      </c>
      <c r="AF114" t="s">
        <v>74</v>
      </c>
      <c r="AG114">
        <v>43</v>
      </c>
      <c r="AH114">
        <v>20</v>
      </c>
      <c r="AI114">
        <v>23</v>
      </c>
      <c r="AJ114">
        <v>0</v>
      </c>
      <c r="AK114">
        <v>11</v>
      </c>
      <c r="AL114" t="s">
        <v>1833</v>
      </c>
      <c r="AM114" t="s">
        <v>1834</v>
      </c>
      <c r="AN114" t="s">
        <v>1835</v>
      </c>
      <c r="AO114" t="s">
        <v>1836</v>
      </c>
      <c r="AP114" t="s">
        <v>1837</v>
      </c>
      <c r="AQ114" t="s">
        <v>74</v>
      </c>
      <c r="AR114" t="s">
        <v>1838</v>
      </c>
      <c r="AS114" t="s">
        <v>1839</v>
      </c>
      <c r="AT114" t="s">
        <v>1795</v>
      </c>
      <c r="AU114">
        <v>2003</v>
      </c>
      <c r="AV114">
        <v>20</v>
      </c>
      <c r="AW114">
        <v>5</v>
      </c>
      <c r="AX114" t="s">
        <v>74</v>
      </c>
      <c r="AY114" t="s">
        <v>74</v>
      </c>
      <c r="AZ114" t="s">
        <v>74</v>
      </c>
      <c r="BA114" t="s">
        <v>74</v>
      </c>
      <c r="BB114">
        <v>439</v>
      </c>
      <c r="BC114">
        <v>450</v>
      </c>
      <c r="BD114" t="s">
        <v>74</v>
      </c>
      <c r="BE114" t="s">
        <v>1840</v>
      </c>
      <c r="BF114" t="str">
        <f>HYPERLINK("http://dx.doi.org/10.1080/713851127","http://dx.doi.org/10.1080/713851127")</f>
        <v>http://dx.doi.org/10.1080/713851127</v>
      </c>
      <c r="BG114" t="s">
        <v>74</v>
      </c>
      <c r="BH114" t="s">
        <v>74</v>
      </c>
      <c r="BI114">
        <v>12</v>
      </c>
      <c r="BJ114" t="s">
        <v>1841</v>
      </c>
      <c r="BK114" t="s">
        <v>94</v>
      </c>
      <c r="BL114" t="s">
        <v>1842</v>
      </c>
      <c r="BM114" t="s">
        <v>1843</v>
      </c>
      <c r="BN114" t="s">
        <v>74</v>
      </c>
      <c r="BO114" t="s">
        <v>74</v>
      </c>
      <c r="BP114" t="s">
        <v>74</v>
      </c>
      <c r="BQ114" t="s">
        <v>74</v>
      </c>
      <c r="BR114" t="s">
        <v>97</v>
      </c>
      <c r="BS114" t="s">
        <v>1844</v>
      </c>
      <c r="BT114" t="str">
        <f>HYPERLINK("https%3A%2F%2Fwww.webofscience.com%2Fwos%2Fwoscc%2Ffull-record%2FWOS:000185766800003","View Full Record in Web of Science")</f>
        <v>View Full Record in Web of Science</v>
      </c>
    </row>
    <row r="115" spans="1:72" x14ac:dyDescent="0.15">
      <c r="A115" t="s">
        <v>72</v>
      </c>
      <c r="B115" t="s">
        <v>1845</v>
      </c>
      <c r="C115" t="s">
        <v>74</v>
      </c>
      <c r="D115" t="s">
        <v>74</v>
      </c>
      <c r="E115" t="s">
        <v>74</v>
      </c>
      <c r="F115" t="s">
        <v>1845</v>
      </c>
      <c r="G115" t="s">
        <v>74</v>
      </c>
      <c r="H115" t="s">
        <v>74</v>
      </c>
      <c r="I115" t="s">
        <v>1846</v>
      </c>
      <c r="J115" t="s">
        <v>1847</v>
      </c>
      <c r="K115" t="s">
        <v>74</v>
      </c>
      <c r="L115" t="s">
        <v>74</v>
      </c>
      <c r="M115" t="s">
        <v>77</v>
      </c>
      <c r="N115" t="s">
        <v>78</v>
      </c>
      <c r="O115" t="s">
        <v>74</v>
      </c>
      <c r="P115" t="s">
        <v>74</v>
      </c>
      <c r="Q115" t="s">
        <v>74</v>
      </c>
      <c r="R115" t="s">
        <v>74</v>
      </c>
      <c r="S115" t="s">
        <v>74</v>
      </c>
      <c r="T115" t="s">
        <v>1848</v>
      </c>
      <c r="U115" t="s">
        <v>1849</v>
      </c>
      <c r="V115" t="s">
        <v>1850</v>
      </c>
      <c r="W115" t="s">
        <v>1851</v>
      </c>
      <c r="X115" t="s">
        <v>1852</v>
      </c>
      <c r="Y115" t="s">
        <v>1853</v>
      </c>
      <c r="Z115" t="s">
        <v>1854</v>
      </c>
      <c r="AA115" t="s">
        <v>1855</v>
      </c>
      <c r="AB115" t="s">
        <v>1856</v>
      </c>
      <c r="AC115" t="s">
        <v>74</v>
      </c>
      <c r="AD115" t="s">
        <v>74</v>
      </c>
      <c r="AE115" t="s">
        <v>74</v>
      </c>
      <c r="AF115" t="s">
        <v>74</v>
      </c>
      <c r="AG115">
        <v>92</v>
      </c>
      <c r="AH115">
        <v>31</v>
      </c>
      <c r="AI115">
        <v>36</v>
      </c>
      <c r="AJ115">
        <v>0</v>
      </c>
      <c r="AK115">
        <v>3</v>
      </c>
      <c r="AL115" t="s">
        <v>188</v>
      </c>
      <c r="AM115" t="s">
        <v>170</v>
      </c>
      <c r="AN115" t="s">
        <v>189</v>
      </c>
      <c r="AO115" t="s">
        <v>1857</v>
      </c>
      <c r="AP115" t="s">
        <v>1858</v>
      </c>
      <c r="AQ115" t="s">
        <v>74</v>
      </c>
      <c r="AR115" t="s">
        <v>1859</v>
      </c>
      <c r="AS115" t="s">
        <v>1860</v>
      </c>
      <c r="AT115" t="s">
        <v>1120</v>
      </c>
      <c r="AU115">
        <v>2003</v>
      </c>
      <c r="AV115">
        <v>154</v>
      </c>
      <c r="AW115">
        <v>3</v>
      </c>
      <c r="AX115" t="s">
        <v>74</v>
      </c>
      <c r="AY115" t="s">
        <v>74</v>
      </c>
      <c r="AZ115" t="s">
        <v>74</v>
      </c>
      <c r="BA115" t="s">
        <v>74</v>
      </c>
      <c r="BB115">
        <v>599</v>
      </c>
      <c r="BC115">
        <v>617</v>
      </c>
      <c r="BD115" t="s">
        <v>74</v>
      </c>
      <c r="BE115" t="s">
        <v>74</v>
      </c>
      <c r="BF115" t="s">
        <v>74</v>
      </c>
      <c r="BG115" t="s">
        <v>74</v>
      </c>
      <c r="BH115" t="s">
        <v>74</v>
      </c>
      <c r="BI115">
        <v>19</v>
      </c>
      <c r="BJ115" t="s">
        <v>176</v>
      </c>
      <c r="BK115" t="s">
        <v>94</v>
      </c>
      <c r="BL115" t="s">
        <v>176</v>
      </c>
      <c r="BM115" t="s">
        <v>1861</v>
      </c>
      <c r="BN115" t="s">
        <v>74</v>
      </c>
      <c r="BO115" t="s">
        <v>551</v>
      </c>
      <c r="BP115" t="s">
        <v>74</v>
      </c>
      <c r="BQ115" t="s">
        <v>74</v>
      </c>
      <c r="BR115" t="s">
        <v>97</v>
      </c>
      <c r="BS115" t="s">
        <v>1862</v>
      </c>
      <c r="BT115" t="str">
        <f>HYPERLINK("https%3A%2F%2Fwww.webofscience.com%2Fwos%2Fwoscc%2Ffull-record%2FWOS:000185105500002","View Full Record in Web of Science")</f>
        <v>View Full Record in Web of Science</v>
      </c>
    </row>
    <row r="116" spans="1:72" x14ac:dyDescent="0.15">
      <c r="A116" t="s">
        <v>72</v>
      </c>
      <c r="B116" t="s">
        <v>1863</v>
      </c>
      <c r="C116" t="s">
        <v>74</v>
      </c>
      <c r="D116" t="s">
        <v>74</v>
      </c>
      <c r="E116" t="s">
        <v>74</v>
      </c>
      <c r="F116" t="s">
        <v>1863</v>
      </c>
      <c r="G116" t="s">
        <v>74</v>
      </c>
      <c r="H116" t="s">
        <v>74</v>
      </c>
      <c r="I116" t="s">
        <v>1864</v>
      </c>
      <c r="J116" t="s">
        <v>1865</v>
      </c>
      <c r="K116" t="s">
        <v>74</v>
      </c>
      <c r="L116" t="s">
        <v>74</v>
      </c>
      <c r="M116" t="s">
        <v>77</v>
      </c>
      <c r="N116" t="s">
        <v>78</v>
      </c>
      <c r="O116" t="s">
        <v>74</v>
      </c>
      <c r="P116" t="s">
        <v>74</v>
      </c>
      <c r="Q116" t="s">
        <v>74</v>
      </c>
      <c r="R116" t="s">
        <v>74</v>
      </c>
      <c r="S116" t="s">
        <v>74</v>
      </c>
      <c r="T116" t="s">
        <v>74</v>
      </c>
      <c r="U116" t="s">
        <v>1866</v>
      </c>
      <c r="V116" t="s">
        <v>1867</v>
      </c>
      <c r="W116" t="s">
        <v>1868</v>
      </c>
      <c r="X116" t="s">
        <v>1869</v>
      </c>
      <c r="Y116" t="s">
        <v>1870</v>
      </c>
      <c r="Z116" t="s">
        <v>1871</v>
      </c>
      <c r="AA116" t="s">
        <v>74</v>
      </c>
      <c r="AB116" t="s">
        <v>74</v>
      </c>
      <c r="AC116" t="s">
        <v>74</v>
      </c>
      <c r="AD116" t="s">
        <v>74</v>
      </c>
      <c r="AE116" t="s">
        <v>74</v>
      </c>
      <c r="AF116" t="s">
        <v>74</v>
      </c>
      <c r="AG116">
        <v>28</v>
      </c>
      <c r="AH116">
        <v>28</v>
      </c>
      <c r="AI116">
        <v>33</v>
      </c>
      <c r="AJ116">
        <v>0</v>
      </c>
      <c r="AK116">
        <v>3</v>
      </c>
      <c r="AL116" t="s">
        <v>1872</v>
      </c>
      <c r="AM116" t="s">
        <v>1873</v>
      </c>
      <c r="AN116" t="s">
        <v>1874</v>
      </c>
      <c r="AO116" t="s">
        <v>1875</v>
      </c>
      <c r="AP116" t="s">
        <v>1876</v>
      </c>
      <c r="AQ116" t="s">
        <v>74</v>
      </c>
      <c r="AR116" t="s">
        <v>1865</v>
      </c>
      <c r="AS116" t="s">
        <v>1877</v>
      </c>
      <c r="AT116" t="s">
        <v>1795</v>
      </c>
      <c r="AU116">
        <v>2003</v>
      </c>
      <c r="AV116">
        <v>68</v>
      </c>
      <c r="AW116">
        <v>5</v>
      </c>
      <c r="AX116" t="s">
        <v>74</v>
      </c>
      <c r="AY116" t="s">
        <v>74</v>
      </c>
      <c r="AZ116" t="s">
        <v>74</v>
      </c>
      <c r="BA116" t="s">
        <v>74</v>
      </c>
      <c r="BB116">
        <v>1537</v>
      </c>
      <c r="BC116">
        <v>1546</v>
      </c>
      <c r="BD116" t="s">
        <v>74</v>
      </c>
      <c r="BE116" t="s">
        <v>1878</v>
      </c>
      <c r="BF116" t="str">
        <f>HYPERLINK("http://dx.doi.org/10.1190/1.1620627","http://dx.doi.org/10.1190/1.1620627")</f>
        <v>http://dx.doi.org/10.1190/1.1620627</v>
      </c>
      <c r="BG116" t="s">
        <v>74</v>
      </c>
      <c r="BH116" t="s">
        <v>74</v>
      </c>
      <c r="BI116">
        <v>10</v>
      </c>
      <c r="BJ116" t="s">
        <v>176</v>
      </c>
      <c r="BK116" t="s">
        <v>94</v>
      </c>
      <c r="BL116" t="s">
        <v>176</v>
      </c>
      <c r="BM116" t="s">
        <v>1879</v>
      </c>
      <c r="BN116" t="s">
        <v>74</v>
      </c>
      <c r="BO116" t="s">
        <v>74</v>
      </c>
      <c r="BP116" t="s">
        <v>74</v>
      </c>
      <c r="BQ116" t="s">
        <v>74</v>
      </c>
      <c r="BR116" t="s">
        <v>97</v>
      </c>
      <c r="BS116" t="s">
        <v>1880</v>
      </c>
      <c r="BT116" t="str">
        <f>HYPERLINK("https%3A%2F%2Fwww.webofscience.com%2Fwos%2Fwoscc%2Ffull-record%2FWOS:000220836400010","View Full Record in Web of Science")</f>
        <v>View Full Record in Web of Science</v>
      </c>
    </row>
    <row r="117" spans="1:72" x14ac:dyDescent="0.15">
      <c r="A117" t="s">
        <v>72</v>
      </c>
      <c r="B117" t="s">
        <v>1881</v>
      </c>
      <c r="C117" t="s">
        <v>74</v>
      </c>
      <c r="D117" t="s">
        <v>74</v>
      </c>
      <c r="E117" t="s">
        <v>74</v>
      </c>
      <c r="F117" t="s">
        <v>1881</v>
      </c>
      <c r="G117" t="s">
        <v>74</v>
      </c>
      <c r="H117" t="s">
        <v>74</v>
      </c>
      <c r="I117" t="s">
        <v>1882</v>
      </c>
      <c r="J117" t="s">
        <v>1883</v>
      </c>
      <c r="K117" t="s">
        <v>74</v>
      </c>
      <c r="L117" t="s">
        <v>74</v>
      </c>
      <c r="M117" t="s">
        <v>77</v>
      </c>
      <c r="N117" t="s">
        <v>78</v>
      </c>
      <c r="O117" t="s">
        <v>74</v>
      </c>
      <c r="P117" t="s">
        <v>74</v>
      </c>
      <c r="Q117" t="s">
        <v>74</v>
      </c>
      <c r="R117" t="s">
        <v>74</v>
      </c>
      <c r="S117" t="s">
        <v>74</v>
      </c>
      <c r="T117" t="s">
        <v>1884</v>
      </c>
      <c r="U117" t="s">
        <v>1885</v>
      </c>
      <c r="V117" t="s">
        <v>1886</v>
      </c>
      <c r="W117" t="s">
        <v>1887</v>
      </c>
      <c r="X117" t="s">
        <v>1888</v>
      </c>
      <c r="Y117" t="s">
        <v>1889</v>
      </c>
      <c r="Z117" t="s">
        <v>74</v>
      </c>
      <c r="AA117" t="s">
        <v>1890</v>
      </c>
      <c r="AB117" t="s">
        <v>74</v>
      </c>
      <c r="AC117" t="s">
        <v>74</v>
      </c>
      <c r="AD117" t="s">
        <v>74</v>
      </c>
      <c r="AE117" t="s">
        <v>74</v>
      </c>
      <c r="AF117" t="s">
        <v>74</v>
      </c>
      <c r="AG117">
        <v>14</v>
      </c>
      <c r="AH117">
        <v>8</v>
      </c>
      <c r="AI117">
        <v>9</v>
      </c>
      <c r="AJ117">
        <v>0</v>
      </c>
      <c r="AK117">
        <v>6</v>
      </c>
      <c r="AL117" t="s">
        <v>1891</v>
      </c>
      <c r="AM117" t="s">
        <v>208</v>
      </c>
      <c r="AN117" t="s">
        <v>209</v>
      </c>
      <c r="AO117" t="s">
        <v>1892</v>
      </c>
      <c r="AP117" t="s">
        <v>74</v>
      </c>
      <c r="AQ117" t="s">
        <v>74</v>
      </c>
      <c r="AR117" t="s">
        <v>1883</v>
      </c>
      <c r="AS117" t="s">
        <v>1893</v>
      </c>
      <c r="AT117" t="s">
        <v>1120</v>
      </c>
      <c r="AU117">
        <v>2003</v>
      </c>
      <c r="AV117">
        <v>505</v>
      </c>
      <c r="AW117" t="s">
        <v>1894</v>
      </c>
      <c r="AX117" t="s">
        <v>74</v>
      </c>
      <c r="AY117" t="s">
        <v>74</v>
      </c>
      <c r="AZ117" t="s">
        <v>74</v>
      </c>
      <c r="BA117" t="s">
        <v>74</v>
      </c>
      <c r="BB117">
        <v>49</v>
      </c>
      <c r="BC117">
        <v>72</v>
      </c>
      <c r="BD117" t="s">
        <v>74</v>
      </c>
      <c r="BE117" t="s">
        <v>1895</v>
      </c>
      <c r="BF117" t="str">
        <f>HYPERLINK("http://dx.doi.org/10.1023/B:HYDR.0000007245.66840.0a","http://dx.doi.org/10.1023/B:HYDR.0000007245.66840.0a")</f>
        <v>http://dx.doi.org/10.1023/B:HYDR.0000007245.66840.0a</v>
      </c>
      <c r="BG117" t="s">
        <v>74</v>
      </c>
      <c r="BH117" t="s">
        <v>74</v>
      </c>
      <c r="BI117">
        <v>24</v>
      </c>
      <c r="BJ117" t="s">
        <v>235</v>
      </c>
      <c r="BK117" t="s">
        <v>94</v>
      </c>
      <c r="BL117" t="s">
        <v>235</v>
      </c>
      <c r="BM117" t="s">
        <v>1896</v>
      </c>
      <c r="BN117" t="s">
        <v>74</v>
      </c>
      <c r="BO117" t="s">
        <v>74</v>
      </c>
      <c r="BP117" t="s">
        <v>74</v>
      </c>
      <c r="BQ117" t="s">
        <v>74</v>
      </c>
      <c r="BR117" t="s">
        <v>97</v>
      </c>
      <c r="BS117" t="s">
        <v>1897</v>
      </c>
      <c r="BT117" t="str">
        <f>HYPERLINK("https%3A%2F%2Fwww.webofscience.com%2Fwos%2Fwoscc%2Ffull-record%2FWOS:000187070200005","View Full Record in Web of Science")</f>
        <v>View Full Record in Web of Science</v>
      </c>
    </row>
    <row r="118" spans="1:72" x14ac:dyDescent="0.15">
      <c r="A118" t="s">
        <v>72</v>
      </c>
      <c r="B118" t="s">
        <v>1898</v>
      </c>
      <c r="C118" t="s">
        <v>74</v>
      </c>
      <c r="D118" t="s">
        <v>74</v>
      </c>
      <c r="E118" t="s">
        <v>74</v>
      </c>
      <c r="F118" t="s">
        <v>1898</v>
      </c>
      <c r="G118" t="s">
        <v>74</v>
      </c>
      <c r="H118" t="s">
        <v>74</v>
      </c>
      <c r="I118" t="s">
        <v>1899</v>
      </c>
      <c r="J118" t="s">
        <v>1900</v>
      </c>
      <c r="K118" t="s">
        <v>74</v>
      </c>
      <c r="L118" t="s">
        <v>74</v>
      </c>
      <c r="M118" t="s">
        <v>77</v>
      </c>
      <c r="N118" t="s">
        <v>78</v>
      </c>
      <c r="O118" t="s">
        <v>74</v>
      </c>
      <c r="P118" t="s">
        <v>74</v>
      </c>
      <c r="Q118" t="s">
        <v>74</v>
      </c>
      <c r="R118" t="s">
        <v>74</v>
      </c>
      <c r="S118" t="s">
        <v>74</v>
      </c>
      <c r="T118" t="s">
        <v>74</v>
      </c>
      <c r="U118" t="s">
        <v>1901</v>
      </c>
      <c r="V118" t="s">
        <v>1902</v>
      </c>
      <c r="W118" t="s">
        <v>1903</v>
      </c>
      <c r="X118" t="s">
        <v>1888</v>
      </c>
      <c r="Y118" t="s">
        <v>1904</v>
      </c>
      <c r="Z118" t="s">
        <v>74</v>
      </c>
      <c r="AA118" t="s">
        <v>74</v>
      </c>
      <c r="AB118" t="s">
        <v>1905</v>
      </c>
      <c r="AC118" t="s">
        <v>74</v>
      </c>
      <c r="AD118" t="s">
        <v>74</v>
      </c>
      <c r="AE118" t="s">
        <v>74</v>
      </c>
      <c r="AF118" t="s">
        <v>74</v>
      </c>
      <c r="AG118">
        <v>24</v>
      </c>
      <c r="AH118">
        <v>62</v>
      </c>
      <c r="AI118">
        <v>63</v>
      </c>
      <c r="AJ118">
        <v>0</v>
      </c>
      <c r="AK118">
        <v>6</v>
      </c>
      <c r="AL118" t="s">
        <v>1906</v>
      </c>
      <c r="AM118" t="s">
        <v>442</v>
      </c>
      <c r="AN118" t="s">
        <v>1907</v>
      </c>
      <c r="AO118" t="s">
        <v>1908</v>
      </c>
      <c r="AP118" t="s">
        <v>74</v>
      </c>
      <c r="AQ118" t="s">
        <v>74</v>
      </c>
      <c r="AR118" t="s">
        <v>1909</v>
      </c>
      <c r="AS118" t="s">
        <v>1910</v>
      </c>
      <c r="AT118" t="s">
        <v>1120</v>
      </c>
      <c r="AU118">
        <v>2003</v>
      </c>
      <c r="AV118">
        <v>53</v>
      </c>
      <c r="AW118" t="s">
        <v>74</v>
      </c>
      <c r="AX118">
        <v>5</v>
      </c>
      <c r="AY118" t="s">
        <v>74</v>
      </c>
      <c r="AZ118" t="s">
        <v>74</v>
      </c>
      <c r="BA118" t="s">
        <v>74</v>
      </c>
      <c r="BB118">
        <v>1241</v>
      </c>
      <c r="BC118">
        <v>1245</v>
      </c>
      <c r="BD118" t="s">
        <v>74</v>
      </c>
      <c r="BE118" t="s">
        <v>1911</v>
      </c>
      <c r="BF118" t="str">
        <f>HYPERLINK("http://dx.doi.org/10.1099/ijs.0.02583-0","http://dx.doi.org/10.1099/ijs.0.02583-0")</f>
        <v>http://dx.doi.org/10.1099/ijs.0.02583-0</v>
      </c>
      <c r="BG118" t="s">
        <v>74</v>
      </c>
      <c r="BH118" t="s">
        <v>74</v>
      </c>
      <c r="BI118">
        <v>5</v>
      </c>
      <c r="BJ118" t="s">
        <v>1912</v>
      </c>
      <c r="BK118" t="s">
        <v>94</v>
      </c>
      <c r="BL118" t="s">
        <v>1912</v>
      </c>
      <c r="BM118" t="s">
        <v>1913</v>
      </c>
      <c r="BN118">
        <v>13130001</v>
      </c>
      <c r="BO118" t="s">
        <v>96</v>
      </c>
      <c r="BP118" t="s">
        <v>74</v>
      </c>
      <c r="BQ118" t="s">
        <v>74</v>
      </c>
      <c r="BR118" t="s">
        <v>97</v>
      </c>
      <c r="BS118" t="s">
        <v>1914</v>
      </c>
      <c r="BT118" t="str">
        <f>HYPERLINK("https%3A%2F%2Fwww.webofscience.com%2Fwos%2Fwoscc%2Ffull-record%2FWOS:000185551100003","View Full Record in Web of Science")</f>
        <v>View Full Record in Web of Science</v>
      </c>
    </row>
    <row r="119" spans="1:72" x14ac:dyDescent="0.15">
      <c r="A119" t="s">
        <v>72</v>
      </c>
      <c r="B119" t="s">
        <v>1915</v>
      </c>
      <c r="C119" t="s">
        <v>74</v>
      </c>
      <c r="D119" t="s">
        <v>74</v>
      </c>
      <c r="E119" t="s">
        <v>74</v>
      </c>
      <c r="F119" t="s">
        <v>1915</v>
      </c>
      <c r="G119" t="s">
        <v>74</v>
      </c>
      <c r="H119" t="s">
        <v>74</v>
      </c>
      <c r="I119" t="s">
        <v>1916</v>
      </c>
      <c r="J119" t="s">
        <v>1900</v>
      </c>
      <c r="K119" t="s">
        <v>74</v>
      </c>
      <c r="L119" t="s">
        <v>74</v>
      </c>
      <c r="M119" t="s">
        <v>77</v>
      </c>
      <c r="N119" t="s">
        <v>78</v>
      </c>
      <c r="O119" t="s">
        <v>74</v>
      </c>
      <c r="P119" t="s">
        <v>74</v>
      </c>
      <c r="Q119" t="s">
        <v>74</v>
      </c>
      <c r="R119" t="s">
        <v>74</v>
      </c>
      <c r="S119" t="s">
        <v>74</v>
      </c>
      <c r="T119" t="s">
        <v>74</v>
      </c>
      <c r="U119" t="s">
        <v>1917</v>
      </c>
      <c r="V119" t="s">
        <v>1918</v>
      </c>
      <c r="W119" t="s">
        <v>1919</v>
      </c>
      <c r="X119" t="s">
        <v>1920</v>
      </c>
      <c r="Y119" t="s">
        <v>1921</v>
      </c>
      <c r="Z119" t="s">
        <v>1922</v>
      </c>
      <c r="AA119" t="s">
        <v>1923</v>
      </c>
      <c r="AB119" t="s">
        <v>1924</v>
      </c>
      <c r="AC119" t="s">
        <v>74</v>
      </c>
      <c r="AD119" t="s">
        <v>74</v>
      </c>
      <c r="AE119" t="s">
        <v>74</v>
      </c>
      <c r="AF119" t="s">
        <v>74</v>
      </c>
      <c r="AG119">
        <v>33</v>
      </c>
      <c r="AH119">
        <v>170</v>
      </c>
      <c r="AI119">
        <v>178</v>
      </c>
      <c r="AJ119">
        <v>1</v>
      </c>
      <c r="AK119">
        <v>18</v>
      </c>
      <c r="AL119" t="s">
        <v>1925</v>
      </c>
      <c r="AM119" t="s">
        <v>964</v>
      </c>
      <c r="AN119" t="s">
        <v>1926</v>
      </c>
      <c r="AO119" t="s">
        <v>1908</v>
      </c>
      <c r="AP119" t="s">
        <v>1927</v>
      </c>
      <c r="AQ119" t="s">
        <v>74</v>
      </c>
      <c r="AR119" t="s">
        <v>1909</v>
      </c>
      <c r="AS119" t="s">
        <v>1910</v>
      </c>
      <c r="AT119" t="s">
        <v>1120</v>
      </c>
      <c r="AU119">
        <v>2003</v>
      </c>
      <c r="AV119">
        <v>53</v>
      </c>
      <c r="AW119" t="s">
        <v>74</v>
      </c>
      <c r="AX119">
        <v>5</v>
      </c>
      <c r="AY119" t="s">
        <v>74</v>
      </c>
      <c r="AZ119" t="s">
        <v>74</v>
      </c>
      <c r="BA119" t="s">
        <v>74</v>
      </c>
      <c r="BB119">
        <v>1253</v>
      </c>
      <c r="BC119">
        <v>1260</v>
      </c>
      <c r="BD119" t="s">
        <v>74</v>
      </c>
      <c r="BE119" t="s">
        <v>1928</v>
      </c>
      <c r="BF119" t="str">
        <f>HYPERLINK("http://dx.doi.org/10.1099/ijs.0.02461-0","http://dx.doi.org/10.1099/ijs.0.02461-0")</f>
        <v>http://dx.doi.org/10.1099/ijs.0.02461-0</v>
      </c>
      <c r="BG119" t="s">
        <v>74</v>
      </c>
      <c r="BH119" t="s">
        <v>74</v>
      </c>
      <c r="BI119">
        <v>8</v>
      </c>
      <c r="BJ119" t="s">
        <v>1912</v>
      </c>
      <c r="BK119" t="s">
        <v>94</v>
      </c>
      <c r="BL119" t="s">
        <v>1912</v>
      </c>
      <c r="BM119" t="s">
        <v>1913</v>
      </c>
      <c r="BN119">
        <v>13130003</v>
      </c>
      <c r="BO119" t="s">
        <v>96</v>
      </c>
      <c r="BP119" t="s">
        <v>74</v>
      </c>
      <c r="BQ119" t="s">
        <v>74</v>
      </c>
      <c r="BR119" t="s">
        <v>97</v>
      </c>
      <c r="BS119" t="s">
        <v>1929</v>
      </c>
      <c r="BT119" t="str">
        <f>HYPERLINK("https%3A%2F%2Fwww.webofscience.com%2Fwos%2Fwoscc%2Ffull-record%2FWOS:000185551100005","View Full Record in Web of Science")</f>
        <v>View Full Record in Web of Science</v>
      </c>
    </row>
    <row r="120" spans="1:72" x14ac:dyDescent="0.15">
      <c r="A120" t="s">
        <v>72</v>
      </c>
      <c r="B120" t="s">
        <v>1930</v>
      </c>
      <c r="C120" t="s">
        <v>74</v>
      </c>
      <c r="D120" t="s">
        <v>74</v>
      </c>
      <c r="E120" t="s">
        <v>74</v>
      </c>
      <c r="F120" t="s">
        <v>1930</v>
      </c>
      <c r="G120" t="s">
        <v>74</v>
      </c>
      <c r="H120" t="s">
        <v>74</v>
      </c>
      <c r="I120" t="s">
        <v>1931</v>
      </c>
      <c r="J120" t="s">
        <v>1900</v>
      </c>
      <c r="K120" t="s">
        <v>74</v>
      </c>
      <c r="L120" t="s">
        <v>74</v>
      </c>
      <c r="M120" t="s">
        <v>77</v>
      </c>
      <c r="N120" t="s">
        <v>78</v>
      </c>
      <c r="O120" t="s">
        <v>74</v>
      </c>
      <c r="P120" t="s">
        <v>74</v>
      </c>
      <c r="Q120" t="s">
        <v>74</v>
      </c>
      <c r="R120" t="s">
        <v>74</v>
      </c>
      <c r="S120" t="s">
        <v>74</v>
      </c>
      <c r="T120" t="s">
        <v>74</v>
      </c>
      <c r="U120" t="s">
        <v>1932</v>
      </c>
      <c r="V120" t="s">
        <v>1933</v>
      </c>
      <c r="W120" t="s">
        <v>1934</v>
      </c>
      <c r="X120" t="s">
        <v>1935</v>
      </c>
      <c r="Y120" t="s">
        <v>1936</v>
      </c>
      <c r="Z120" t="s">
        <v>74</v>
      </c>
      <c r="AA120" t="s">
        <v>1937</v>
      </c>
      <c r="AB120" t="s">
        <v>1938</v>
      </c>
      <c r="AC120" t="s">
        <v>74</v>
      </c>
      <c r="AD120" t="s">
        <v>74</v>
      </c>
      <c r="AE120" t="s">
        <v>74</v>
      </c>
      <c r="AF120" t="s">
        <v>74</v>
      </c>
      <c r="AG120">
        <v>40</v>
      </c>
      <c r="AH120">
        <v>172</v>
      </c>
      <c r="AI120">
        <v>178</v>
      </c>
      <c r="AJ120">
        <v>0</v>
      </c>
      <c r="AK120">
        <v>30</v>
      </c>
      <c r="AL120" t="s">
        <v>1906</v>
      </c>
      <c r="AM120" t="s">
        <v>442</v>
      </c>
      <c r="AN120" t="s">
        <v>1907</v>
      </c>
      <c r="AO120" t="s">
        <v>1908</v>
      </c>
      <c r="AP120" t="s">
        <v>74</v>
      </c>
      <c r="AQ120" t="s">
        <v>74</v>
      </c>
      <c r="AR120" t="s">
        <v>1909</v>
      </c>
      <c r="AS120" t="s">
        <v>1910</v>
      </c>
      <c r="AT120" t="s">
        <v>1120</v>
      </c>
      <c r="AU120">
        <v>2003</v>
      </c>
      <c r="AV120">
        <v>53</v>
      </c>
      <c r="AW120" t="s">
        <v>74</v>
      </c>
      <c r="AX120">
        <v>5</v>
      </c>
      <c r="AY120" t="s">
        <v>74</v>
      </c>
      <c r="AZ120" t="s">
        <v>74</v>
      </c>
      <c r="BA120" t="s">
        <v>74</v>
      </c>
      <c r="BB120">
        <v>1343</v>
      </c>
      <c r="BC120">
        <v>1355</v>
      </c>
      <c r="BD120" t="s">
        <v>74</v>
      </c>
      <c r="BE120" t="s">
        <v>1939</v>
      </c>
      <c r="BF120" t="str">
        <f>HYPERLINK("http://dx.doi.org/10.1099/ijs.0.02553-0","http://dx.doi.org/10.1099/ijs.0.02553-0")</f>
        <v>http://dx.doi.org/10.1099/ijs.0.02553-0</v>
      </c>
      <c r="BG120" t="s">
        <v>74</v>
      </c>
      <c r="BH120" t="s">
        <v>74</v>
      </c>
      <c r="BI120">
        <v>13</v>
      </c>
      <c r="BJ120" t="s">
        <v>1912</v>
      </c>
      <c r="BK120" t="s">
        <v>94</v>
      </c>
      <c r="BL120" t="s">
        <v>1912</v>
      </c>
      <c r="BM120" t="s">
        <v>1913</v>
      </c>
      <c r="BN120">
        <v>13130017</v>
      </c>
      <c r="BO120" t="s">
        <v>96</v>
      </c>
      <c r="BP120" t="s">
        <v>74</v>
      </c>
      <c r="BQ120" t="s">
        <v>74</v>
      </c>
      <c r="BR120" t="s">
        <v>97</v>
      </c>
      <c r="BS120" t="s">
        <v>1940</v>
      </c>
      <c r="BT120" t="str">
        <f>HYPERLINK("https%3A%2F%2Fwww.webofscience.com%2Fwos%2Fwoscc%2Ffull-record%2FWOS:000185551100019","View Full Record in Web of Science")</f>
        <v>View Full Record in Web of Science</v>
      </c>
    </row>
    <row r="121" spans="1:72" x14ac:dyDescent="0.15">
      <c r="A121" t="s">
        <v>72</v>
      </c>
      <c r="B121" t="s">
        <v>1941</v>
      </c>
      <c r="C121" t="s">
        <v>74</v>
      </c>
      <c r="D121" t="s">
        <v>74</v>
      </c>
      <c r="E121" t="s">
        <v>74</v>
      </c>
      <c r="F121" t="s">
        <v>1941</v>
      </c>
      <c r="G121" t="s">
        <v>74</v>
      </c>
      <c r="H121" t="s">
        <v>74</v>
      </c>
      <c r="I121" t="s">
        <v>1942</v>
      </c>
      <c r="J121" t="s">
        <v>1943</v>
      </c>
      <c r="K121" t="s">
        <v>74</v>
      </c>
      <c r="L121" t="s">
        <v>74</v>
      </c>
      <c r="M121" t="s">
        <v>77</v>
      </c>
      <c r="N121" t="s">
        <v>78</v>
      </c>
      <c r="O121" t="s">
        <v>74</v>
      </c>
      <c r="P121" t="s">
        <v>74</v>
      </c>
      <c r="Q121" t="s">
        <v>74</v>
      </c>
      <c r="R121" t="s">
        <v>74</v>
      </c>
      <c r="S121" t="s">
        <v>74</v>
      </c>
      <c r="T121" t="s">
        <v>1944</v>
      </c>
      <c r="U121" t="s">
        <v>1945</v>
      </c>
      <c r="V121" t="s">
        <v>1946</v>
      </c>
      <c r="W121" t="s">
        <v>1947</v>
      </c>
      <c r="X121" t="s">
        <v>1948</v>
      </c>
      <c r="Y121" t="s">
        <v>1949</v>
      </c>
      <c r="Z121" t="s">
        <v>74</v>
      </c>
      <c r="AA121" t="s">
        <v>1950</v>
      </c>
      <c r="AB121" t="s">
        <v>74</v>
      </c>
      <c r="AC121" t="s">
        <v>74</v>
      </c>
      <c r="AD121" t="s">
        <v>74</v>
      </c>
      <c r="AE121" t="s">
        <v>74</v>
      </c>
      <c r="AF121" t="s">
        <v>74</v>
      </c>
      <c r="AG121">
        <v>32</v>
      </c>
      <c r="AH121">
        <v>21</v>
      </c>
      <c r="AI121">
        <v>21</v>
      </c>
      <c r="AJ121">
        <v>0</v>
      </c>
      <c r="AK121">
        <v>5</v>
      </c>
      <c r="AL121" t="s">
        <v>1951</v>
      </c>
      <c r="AM121" t="s">
        <v>1952</v>
      </c>
      <c r="AN121" t="s">
        <v>1953</v>
      </c>
      <c r="AO121" t="s">
        <v>1954</v>
      </c>
      <c r="AP121" t="s">
        <v>74</v>
      </c>
      <c r="AQ121" t="s">
        <v>74</v>
      </c>
      <c r="AR121" t="s">
        <v>1955</v>
      </c>
      <c r="AS121" t="s">
        <v>1956</v>
      </c>
      <c r="AT121" t="s">
        <v>1120</v>
      </c>
      <c r="AU121">
        <v>2003</v>
      </c>
      <c r="AV121">
        <v>44</v>
      </c>
      <c r="AW121">
        <v>1</v>
      </c>
      <c r="AX121" t="s">
        <v>74</v>
      </c>
      <c r="AY121" t="s">
        <v>74</v>
      </c>
      <c r="AZ121" t="s">
        <v>74</v>
      </c>
      <c r="BA121" t="s">
        <v>74</v>
      </c>
      <c r="BB121">
        <v>71</v>
      </c>
      <c r="BC121">
        <v>78</v>
      </c>
      <c r="BD121" t="s">
        <v>74</v>
      </c>
      <c r="BE121" t="s">
        <v>1957</v>
      </c>
      <c r="BF121" t="str">
        <f>HYPERLINK("http://dx.doi.org/10.1080/07924259.2003.9652555","http://dx.doi.org/10.1080/07924259.2003.9652555")</f>
        <v>http://dx.doi.org/10.1080/07924259.2003.9652555</v>
      </c>
      <c r="BG121" t="s">
        <v>74</v>
      </c>
      <c r="BH121" t="s">
        <v>74</v>
      </c>
      <c r="BI121">
        <v>8</v>
      </c>
      <c r="BJ121" t="s">
        <v>1958</v>
      </c>
      <c r="BK121" t="s">
        <v>94</v>
      </c>
      <c r="BL121" t="s">
        <v>1958</v>
      </c>
      <c r="BM121" t="s">
        <v>1959</v>
      </c>
      <c r="BN121" t="s">
        <v>74</v>
      </c>
      <c r="BO121" t="s">
        <v>74</v>
      </c>
      <c r="BP121" t="s">
        <v>74</v>
      </c>
      <c r="BQ121" t="s">
        <v>74</v>
      </c>
      <c r="BR121" t="s">
        <v>97</v>
      </c>
      <c r="BS121" t="s">
        <v>1960</v>
      </c>
      <c r="BT121" t="str">
        <f>HYPERLINK("https%3A%2F%2Fwww.webofscience.com%2Fwos%2Fwoscc%2Ffull-record%2FWOS:000185636200008","View Full Record in Web of Science")</f>
        <v>View Full Record in Web of Science</v>
      </c>
    </row>
    <row r="122" spans="1:72" x14ac:dyDescent="0.15">
      <c r="A122" t="s">
        <v>72</v>
      </c>
      <c r="B122" t="s">
        <v>1961</v>
      </c>
      <c r="C122" t="s">
        <v>74</v>
      </c>
      <c r="D122" t="s">
        <v>74</v>
      </c>
      <c r="E122" t="s">
        <v>74</v>
      </c>
      <c r="F122" t="s">
        <v>1961</v>
      </c>
      <c r="G122" t="s">
        <v>74</v>
      </c>
      <c r="H122" t="s">
        <v>74</v>
      </c>
      <c r="I122" t="s">
        <v>1962</v>
      </c>
      <c r="J122" t="s">
        <v>1963</v>
      </c>
      <c r="K122" t="s">
        <v>74</v>
      </c>
      <c r="L122" t="s">
        <v>74</v>
      </c>
      <c r="M122" t="s">
        <v>77</v>
      </c>
      <c r="N122" t="s">
        <v>78</v>
      </c>
      <c r="O122" t="s">
        <v>74</v>
      </c>
      <c r="P122" t="s">
        <v>74</v>
      </c>
      <c r="Q122" t="s">
        <v>74</v>
      </c>
      <c r="R122" t="s">
        <v>74</v>
      </c>
      <c r="S122" t="s">
        <v>74</v>
      </c>
      <c r="T122" t="s">
        <v>1964</v>
      </c>
      <c r="U122" t="s">
        <v>1965</v>
      </c>
      <c r="V122" t="s">
        <v>1966</v>
      </c>
      <c r="W122" t="s">
        <v>1967</v>
      </c>
      <c r="X122" t="s">
        <v>1968</v>
      </c>
      <c r="Y122" t="s">
        <v>1969</v>
      </c>
      <c r="Z122" t="s">
        <v>1970</v>
      </c>
      <c r="AA122" t="s">
        <v>1971</v>
      </c>
      <c r="AB122" t="s">
        <v>1972</v>
      </c>
      <c r="AC122" t="s">
        <v>74</v>
      </c>
      <c r="AD122" t="s">
        <v>74</v>
      </c>
      <c r="AE122" t="s">
        <v>74</v>
      </c>
      <c r="AF122" t="s">
        <v>74</v>
      </c>
      <c r="AG122">
        <v>81</v>
      </c>
      <c r="AH122">
        <v>101</v>
      </c>
      <c r="AI122">
        <v>111</v>
      </c>
      <c r="AJ122">
        <v>0</v>
      </c>
      <c r="AK122">
        <v>35</v>
      </c>
      <c r="AL122" t="s">
        <v>250</v>
      </c>
      <c r="AM122" t="s">
        <v>251</v>
      </c>
      <c r="AN122" t="s">
        <v>252</v>
      </c>
      <c r="AO122" t="s">
        <v>1973</v>
      </c>
      <c r="AP122" t="s">
        <v>1974</v>
      </c>
      <c r="AQ122" t="s">
        <v>74</v>
      </c>
      <c r="AR122" t="s">
        <v>1975</v>
      </c>
      <c r="AS122" t="s">
        <v>1976</v>
      </c>
      <c r="AT122" t="s">
        <v>1120</v>
      </c>
      <c r="AU122">
        <v>2003</v>
      </c>
      <c r="AV122">
        <v>72</v>
      </c>
      <c r="AW122">
        <v>5</v>
      </c>
      <c r="AX122" t="s">
        <v>74</v>
      </c>
      <c r="AY122" t="s">
        <v>74</v>
      </c>
      <c r="AZ122" t="s">
        <v>74</v>
      </c>
      <c r="BA122" t="s">
        <v>74</v>
      </c>
      <c r="BB122">
        <v>846</v>
      </c>
      <c r="BC122">
        <v>856</v>
      </c>
      <c r="BD122" t="s">
        <v>74</v>
      </c>
      <c r="BE122" t="s">
        <v>1977</v>
      </c>
      <c r="BF122" t="str">
        <f>HYPERLINK("http://dx.doi.org/10.1046/j.1365-2656.2003.00756.x","http://dx.doi.org/10.1046/j.1365-2656.2003.00756.x")</f>
        <v>http://dx.doi.org/10.1046/j.1365-2656.2003.00756.x</v>
      </c>
      <c r="BG122" t="s">
        <v>74</v>
      </c>
      <c r="BH122" t="s">
        <v>74</v>
      </c>
      <c r="BI122">
        <v>11</v>
      </c>
      <c r="BJ122" t="s">
        <v>1978</v>
      </c>
      <c r="BK122" t="s">
        <v>94</v>
      </c>
      <c r="BL122" t="s">
        <v>1979</v>
      </c>
      <c r="BM122" t="s">
        <v>1980</v>
      </c>
      <c r="BN122" t="s">
        <v>74</v>
      </c>
      <c r="BO122" t="s">
        <v>96</v>
      </c>
      <c r="BP122" t="s">
        <v>74</v>
      </c>
      <c r="BQ122" t="s">
        <v>74</v>
      </c>
      <c r="BR122" t="s">
        <v>97</v>
      </c>
      <c r="BS122" t="s">
        <v>1981</v>
      </c>
      <c r="BT122" t="str">
        <f>HYPERLINK("https%3A%2F%2Fwww.webofscience.com%2Fwos%2Fwoscc%2Ffull-record%2FWOS:000185063900015","View Full Record in Web of Science")</f>
        <v>View Full Record in Web of Science</v>
      </c>
    </row>
    <row r="123" spans="1:72" x14ac:dyDescent="0.15">
      <c r="A123" t="s">
        <v>72</v>
      </c>
      <c r="B123" t="s">
        <v>1982</v>
      </c>
      <c r="C123" t="s">
        <v>74</v>
      </c>
      <c r="D123" t="s">
        <v>74</v>
      </c>
      <c r="E123" t="s">
        <v>74</v>
      </c>
      <c r="F123" t="s">
        <v>1982</v>
      </c>
      <c r="G123" t="s">
        <v>74</v>
      </c>
      <c r="H123" t="s">
        <v>74</v>
      </c>
      <c r="I123" t="s">
        <v>1983</v>
      </c>
      <c r="J123" t="s">
        <v>1984</v>
      </c>
      <c r="K123" t="s">
        <v>74</v>
      </c>
      <c r="L123" t="s">
        <v>74</v>
      </c>
      <c r="M123" t="s">
        <v>77</v>
      </c>
      <c r="N123" t="s">
        <v>159</v>
      </c>
      <c r="O123" t="s">
        <v>1985</v>
      </c>
      <c r="P123" t="s">
        <v>1986</v>
      </c>
      <c r="Q123" t="s">
        <v>1987</v>
      </c>
      <c r="R123" t="s">
        <v>74</v>
      </c>
      <c r="S123" t="s">
        <v>74</v>
      </c>
      <c r="T123" t="s">
        <v>1988</v>
      </c>
      <c r="U123" t="s">
        <v>1989</v>
      </c>
      <c r="V123" t="s">
        <v>1990</v>
      </c>
      <c r="W123" t="s">
        <v>1991</v>
      </c>
      <c r="X123" t="s">
        <v>1992</v>
      </c>
      <c r="Y123" t="s">
        <v>1993</v>
      </c>
      <c r="Z123" t="s">
        <v>1994</v>
      </c>
      <c r="AA123" t="s">
        <v>1995</v>
      </c>
      <c r="AB123" t="s">
        <v>1996</v>
      </c>
      <c r="AC123" t="s">
        <v>74</v>
      </c>
      <c r="AD123" t="s">
        <v>74</v>
      </c>
      <c r="AE123" t="s">
        <v>74</v>
      </c>
      <c r="AF123" t="s">
        <v>74</v>
      </c>
      <c r="AG123">
        <v>66</v>
      </c>
      <c r="AH123">
        <v>11</v>
      </c>
      <c r="AI123">
        <v>11</v>
      </c>
      <c r="AJ123">
        <v>0</v>
      </c>
      <c r="AK123">
        <v>1</v>
      </c>
      <c r="AL123" t="s">
        <v>169</v>
      </c>
      <c r="AM123" t="s">
        <v>170</v>
      </c>
      <c r="AN123" t="s">
        <v>171</v>
      </c>
      <c r="AO123" t="s">
        <v>1997</v>
      </c>
      <c r="AP123" t="s">
        <v>74</v>
      </c>
      <c r="AQ123" t="s">
        <v>74</v>
      </c>
      <c r="AR123" t="s">
        <v>1998</v>
      </c>
      <c r="AS123" t="s">
        <v>1999</v>
      </c>
      <c r="AT123" t="s">
        <v>1120</v>
      </c>
      <c r="AU123">
        <v>2003</v>
      </c>
      <c r="AV123">
        <v>22</v>
      </c>
      <c r="AW123">
        <v>2</v>
      </c>
      <c r="AX123" t="s">
        <v>74</v>
      </c>
      <c r="AY123" t="s">
        <v>74</v>
      </c>
      <c r="AZ123" t="s">
        <v>74</v>
      </c>
      <c r="BA123" t="s">
        <v>74</v>
      </c>
      <c r="BB123">
        <v>81</v>
      </c>
      <c r="BC123">
        <v>100</v>
      </c>
      <c r="BD123" t="s">
        <v>74</v>
      </c>
      <c r="BE123" t="s">
        <v>2000</v>
      </c>
      <c r="BF123" t="str">
        <f>HYPERLINK("http://dx.doi.org/10.1016/S1367-9120(02)00186-4","http://dx.doi.org/10.1016/S1367-9120(02)00186-4")</f>
        <v>http://dx.doi.org/10.1016/S1367-9120(02)00186-4</v>
      </c>
      <c r="BG123" t="s">
        <v>74</v>
      </c>
      <c r="BH123" t="s">
        <v>74</v>
      </c>
      <c r="BI123">
        <v>20</v>
      </c>
      <c r="BJ123" t="s">
        <v>548</v>
      </c>
      <c r="BK123" t="s">
        <v>177</v>
      </c>
      <c r="BL123" t="s">
        <v>549</v>
      </c>
      <c r="BM123" t="s">
        <v>2001</v>
      </c>
      <c r="BN123" t="s">
        <v>74</v>
      </c>
      <c r="BO123" t="s">
        <v>74</v>
      </c>
      <c r="BP123" t="s">
        <v>74</v>
      </c>
      <c r="BQ123" t="s">
        <v>74</v>
      </c>
      <c r="BR123" t="s">
        <v>97</v>
      </c>
      <c r="BS123" t="s">
        <v>2002</v>
      </c>
      <c r="BT123" t="str">
        <f>HYPERLINK("https%3A%2F%2Fwww.webofscience.com%2Fwos%2Fwoscc%2Ffull-record%2FWOS:000185522700002","View Full Record in Web of Science")</f>
        <v>View Full Record in Web of Science</v>
      </c>
    </row>
    <row r="124" spans="1:72" x14ac:dyDescent="0.15">
      <c r="A124" t="s">
        <v>72</v>
      </c>
      <c r="B124" t="s">
        <v>2003</v>
      </c>
      <c r="C124" t="s">
        <v>74</v>
      </c>
      <c r="D124" t="s">
        <v>74</v>
      </c>
      <c r="E124" t="s">
        <v>74</v>
      </c>
      <c r="F124" t="s">
        <v>2003</v>
      </c>
      <c r="G124" t="s">
        <v>74</v>
      </c>
      <c r="H124" t="s">
        <v>74</v>
      </c>
      <c r="I124" t="s">
        <v>2004</v>
      </c>
      <c r="J124" t="s">
        <v>2005</v>
      </c>
      <c r="K124" t="s">
        <v>74</v>
      </c>
      <c r="L124" t="s">
        <v>74</v>
      </c>
      <c r="M124" t="s">
        <v>77</v>
      </c>
      <c r="N124" t="s">
        <v>78</v>
      </c>
      <c r="O124" t="s">
        <v>74</v>
      </c>
      <c r="P124" t="s">
        <v>74</v>
      </c>
      <c r="Q124" t="s">
        <v>74</v>
      </c>
      <c r="R124" t="s">
        <v>74</v>
      </c>
      <c r="S124" t="s">
        <v>74</v>
      </c>
      <c r="T124" t="s">
        <v>74</v>
      </c>
      <c r="U124" t="s">
        <v>2006</v>
      </c>
      <c r="V124" t="s">
        <v>2007</v>
      </c>
      <c r="W124" t="s">
        <v>2008</v>
      </c>
      <c r="X124" t="s">
        <v>2009</v>
      </c>
      <c r="Y124" t="s">
        <v>2010</v>
      </c>
      <c r="Z124" t="s">
        <v>2011</v>
      </c>
      <c r="AA124" t="s">
        <v>74</v>
      </c>
      <c r="AB124" t="s">
        <v>2012</v>
      </c>
      <c r="AC124" t="s">
        <v>74</v>
      </c>
      <c r="AD124" t="s">
        <v>74</v>
      </c>
      <c r="AE124" t="s">
        <v>74</v>
      </c>
      <c r="AF124" t="s">
        <v>74</v>
      </c>
      <c r="AG124">
        <v>50</v>
      </c>
      <c r="AH124">
        <v>77</v>
      </c>
      <c r="AI124">
        <v>88</v>
      </c>
      <c r="AJ124">
        <v>0</v>
      </c>
      <c r="AK124">
        <v>26</v>
      </c>
      <c r="AL124" t="s">
        <v>1263</v>
      </c>
      <c r="AM124" t="s">
        <v>540</v>
      </c>
      <c r="AN124" t="s">
        <v>1264</v>
      </c>
      <c r="AO124" t="s">
        <v>2013</v>
      </c>
      <c r="AP124" t="s">
        <v>2014</v>
      </c>
      <c r="AQ124" t="s">
        <v>74</v>
      </c>
      <c r="AR124" t="s">
        <v>2015</v>
      </c>
      <c r="AS124" t="s">
        <v>2016</v>
      </c>
      <c r="AT124" t="s">
        <v>1120</v>
      </c>
      <c r="AU124">
        <v>2003</v>
      </c>
      <c r="AV124">
        <v>185</v>
      </c>
      <c r="AW124">
        <v>18</v>
      </c>
      <c r="AX124" t="s">
        <v>74</v>
      </c>
      <c r="AY124" t="s">
        <v>74</v>
      </c>
      <c r="AZ124" t="s">
        <v>74</v>
      </c>
      <c r="BA124" t="s">
        <v>74</v>
      </c>
      <c r="BB124">
        <v>5473</v>
      </c>
      <c r="BC124">
        <v>5482</v>
      </c>
      <c r="BD124" t="s">
        <v>74</v>
      </c>
      <c r="BE124" t="s">
        <v>2017</v>
      </c>
      <c r="BF124" t="str">
        <f>HYPERLINK("http://dx.doi.org/10.1128/JB.185.18.5473-5482.2003","http://dx.doi.org/10.1128/JB.185.18.5473-5482.2003")</f>
        <v>http://dx.doi.org/10.1128/JB.185.18.5473-5482.2003</v>
      </c>
      <c r="BG124" t="s">
        <v>74</v>
      </c>
      <c r="BH124" t="s">
        <v>74</v>
      </c>
      <c r="BI124">
        <v>10</v>
      </c>
      <c r="BJ124" t="s">
        <v>1912</v>
      </c>
      <c r="BK124" t="s">
        <v>94</v>
      </c>
      <c r="BL124" t="s">
        <v>1912</v>
      </c>
      <c r="BM124" t="s">
        <v>2018</v>
      </c>
      <c r="BN124">
        <v>12949099</v>
      </c>
      <c r="BO124" t="s">
        <v>154</v>
      </c>
      <c r="BP124" t="s">
        <v>74</v>
      </c>
      <c r="BQ124" t="s">
        <v>74</v>
      </c>
      <c r="BR124" t="s">
        <v>97</v>
      </c>
      <c r="BS124" t="s">
        <v>2019</v>
      </c>
      <c r="BT124" t="str">
        <f>HYPERLINK("https%3A%2F%2Fwww.webofscience.com%2Fwos%2Fwoscc%2Ffull-record%2FWOS:000185181500016","View Full Record in Web of Science")</f>
        <v>View Full Record in Web of Science</v>
      </c>
    </row>
    <row r="125" spans="1:72" x14ac:dyDescent="0.15">
      <c r="A125" t="s">
        <v>72</v>
      </c>
      <c r="B125" t="s">
        <v>2020</v>
      </c>
      <c r="C125" t="s">
        <v>74</v>
      </c>
      <c r="D125" t="s">
        <v>74</v>
      </c>
      <c r="E125" t="s">
        <v>74</v>
      </c>
      <c r="F125" t="s">
        <v>2020</v>
      </c>
      <c r="G125" t="s">
        <v>74</v>
      </c>
      <c r="H125" t="s">
        <v>74</v>
      </c>
      <c r="I125" t="s">
        <v>2021</v>
      </c>
      <c r="J125" t="s">
        <v>2022</v>
      </c>
      <c r="K125" t="s">
        <v>74</v>
      </c>
      <c r="L125" t="s">
        <v>74</v>
      </c>
      <c r="M125" t="s">
        <v>77</v>
      </c>
      <c r="N125" t="s">
        <v>78</v>
      </c>
      <c r="O125" t="s">
        <v>74</v>
      </c>
      <c r="P125" t="s">
        <v>74</v>
      </c>
      <c r="Q125" t="s">
        <v>74</v>
      </c>
      <c r="R125" t="s">
        <v>74</v>
      </c>
      <c r="S125" t="s">
        <v>74</v>
      </c>
      <c r="T125" t="s">
        <v>2023</v>
      </c>
      <c r="U125" t="s">
        <v>2024</v>
      </c>
      <c r="V125" t="s">
        <v>2025</v>
      </c>
      <c r="W125" t="s">
        <v>2026</v>
      </c>
      <c r="X125" t="s">
        <v>2027</v>
      </c>
      <c r="Y125" t="s">
        <v>2028</v>
      </c>
      <c r="Z125" t="s">
        <v>74</v>
      </c>
      <c r="AA125" t="s">
        <v>2029</v>
      </c>
      <c r="AB125" t="s">
        <v>2030</v>
      </c>
      <c r="AC125" t="s">
        <v>74</v>
      </c>
      <c r="AD125" t="s">
        <v>74</v>
      </c>
      <c r="AE125" t="s">
        <v>74</v>
      </c>
      <c r="AF125" t="s">
        <v>74</v>
      </c>
      <c r="AG125">
        <v>41</v>
      </c>
      <c r="AH125">
        <v>23</v>
      </c>
      <c r="AI125">
        <v>25</v>
      </c>
      <c r="AJ125">
        <v>0</v>
      </c>
      <c r="AK125">
        <v>4</v>
      </c>
      <c r="AL125" t="s">
        <v>342</v>
      </c>
      <c r="AM125" t="s">
        <v>229</v>
      </c>
      <c r="AN125" t="s">
        <v>343</v>
      </c>
      <c r="AO125" t="s">
        <v>2031</v>
      </c>
      <c r="AP125" t="s">
        <v>74</v>
      </c>
      <c r="AQ125" t="s">
        <v>74</v>
      </c>
      <c r="AR125" t="s">
        <v>2032</v>
      </c>
      <c r="AS125" t="s">
        <v>2033</v>
      </c>
      <c r="AT125" t="s">
        <v>1120</v>
      </c>
      <c r="AU125">
        <v>2003</v>
      </c>
      <c r="AV125">
        <v>173</v>
      </c>
      <c r="AW125">
        <v>7</v>
      </c>
      <c r="AX125" t="s">
        <v>74</v>
      </c>
      <c r="AY125" t="s">
        <v>74</v>
      </c>
      <c r="AZ125" t="s">
        <v>74</v>
      </c>
      <c r="BA125" t="s">
        <v>74</v>
      </c>
      <c r="BB125">
        <v>611</v>
      </c>
      <c r="BC125">
        <v>620</v>
      </c>
      <c r="BD125" t="s">
        <v>74</v>
      </c>
      <c r="BE125" t="s">
        <v>2034</v>
      </c>
      <c r="BF125" t="str">
        <f>HYPERLINK("http://dx.doi.org/10.1007/s00360-003-0371-7","http://dx.doi.org/10.1007/s00360-003-0371-7")</f>
        <v>http://dx.doi.org/10.1007/s00360-003-0371-7</v>
      </c>
      <c r="BG125" t="s">
        <v>74</v>
      </c>
      <c r="BH125" t="s">
        <v>74</v>
      </c>
      <c r="BI125">
        <v>10</v>
      </c>
      <c r="BJ125" t="s">
        <v>2035</v>
      </c>
      <c r="BK125" t="s">
        <v>94</v>
      </c>
      <c r="BL125" t="s">
        <v>2035</v>
      </c>
      <c r="BM125" t="s">
        <v>2036</v>
      </c>
      <c r="BN125">
        <v>12905006</v>
      </c>
      <c r="BO125" t="s">
        <v>1767</v>
      </c>
      <c r="BP125" t="s">
        <v>74</v>
      </c>
      <c r="BQ125" t="s">
        <v>74</v>
      </c>
      <c r="BR125" t="s">
        <v>97</v>
      </c>
      <c r="BS125" t="s">
        <v>2037</v>
      </c>
      <c r="BT125" t="str">
        <f>HYPERLINK("https%3A%2F%2Fwww.webofscience.com%2Fwos%2Fwoscc%2Ffull-record%2FWOS:000185246700009","View Full Record in Web of Science")</f>
        <v>View Full Record in Web of Science</v>
      </c>
    </row>
    <row r="126" spans="1:72" x14ac:dyDescent="0.15">
      <c r="A126" t="s">
        <v>72</v>
      </c>
      <c r="B126" t="s">
        <v>2038</v>
      </c>
      <c r="C126" t="s">
        <v>74</v>
      </c>
      <c r="D126" t="s">
        <v>74</v>
      </c>
      <c r="E126" t="s">
        <v>74</v>
      </c>
      <c r="F126" t="s">
        <v>2038</v>
      </c>
      <c r="G126" t="s">
        <v>74</v>
      </c>
      <c r="H126" t="s">
        <v>74</v>
      </c>
      <c r="I126" t="s">
        <v>2039</v>
      </c>
      <c r="J126" t="s">
        <v>2040</v>
      </c>
      <c r="K126" t="s">
        <v>74</v>
      </c>
      <c r="L126" t="s">
        <v>74</v>
      </c>
      <c r="M126" t="s">
        <v>77</v>
      </c>
      <c r="N126" t="s">
        <v>159</v>
      </c>
      <c r="O126" t="s">
        <v>2041</v>
      </c>
      <c r="P126" t="s">
        <v>2042</v>
      </c>
      <c r="Q126" t="s">
        <v>2043</v>
      </c>
      <c r="R126" t="s">
        <v>74</v>
      </c>
      <c r="S126" t="s">
        <v>2044</v>
      </c>
      <c r="T126" t="s">
        <v>2045</v>
      </c>
      <c r="U126" t="s">
        <v>2046</v>
      </c>
      <c r="V126" t="s">
        <v>2047</v>
      </c>
      <c r="W126" t="s">
        <v>2048</v>
      </c>
      <c r="X126" t="s">
        <v>2049</v>
      </c>
      <c r="Y126" t="s">
        <v>2050</v>
      </c>
      <c r="Z126" t="s">
        <v>74</v>
      </c>
      <c r="AA126" t="s">
        <v>2051</v>
      </c>
      <c r="AB126" t="s">
        <v>2052</v>
      </c>
      <c r="AC126" t="s">
        <v>74</v>
      </c>
      <c r="AD126" t="s">
        <v>74</v>
      </c>
      <c r="AE126" t="s">
        <v>74</v>
      </c>
      <c r="AF126" t="s">
        <v>74</v>
      </c>
      <c r="AG126">
        <v>11</v>
      </c>
      <c r="AH126">
        <v>6</v>
      </c>
      <c r="AI126">
        <v>6</v>
      </c>
      <c r="AJ126">
        <v>1</v>
      </c>
      <c r="AK126">
        <v>5</v>
      </c>
      <c r="AL126" t="s">
        <v>110</v>
      </c>
      <c r="AM126" t="s">
        <v>111</v>
      </c>
      <c r="AN126" t="s">
        <v>112</v>
      </c>
      <c r="AO126" t="s">
        <v>2053</v>
      </c>
      <c r="AP126" t="s">
        <v>74</v>
      </c>
      <c r="AQ126" t="s">
        <v>74</v>
      </c>
      <c r="AR126" t="s">
        <v>2054</v>
      </c>
      <c r="AS126" t="s">
        <v>2055</v>
      </c>
      <c r="AT126" t="s">
        <v>2056</v>
      </c>
      <c r="AU126">
        <v>2003</v>
      </c>
      <c r="AV126">
        <v>158</v>
      </c>
      <c r="AW126">
        <v>1</v>
      </c>
      <c r="AX126" t="s">
        <v>74</v>
      </c>
      <c r="AY126" t="s">
        <v>74</v>
      </c>
      <c r="AZ126" t="s">
        <v>74</v>
      </c>
      <c r="BA126" t="s">
        <v>74</v>
      </c>
      <c r="BB126">
        <v>31</v>
      </c>
      <c r="BC126">
        <v>41</v>
      </c>
      <c r="BD126" t="s">
        <v>74</v>
      </c>
      <c r="BE126" t="s">
        <v>2057</v>
      </c>
      <c r="BF126" t="str">
        <f>HYPERLINK("http://dx.doi.org/10.1016/S0377-0427(03)00466-7","http://dx.doi.org/10.1016/S0377-0427(03)00466-7")</f>
        <v>http://dx.doi.org/10.1016/S0377-0427(03)00466-7</v>
      </c>
      <c r="BG126" t="s">
        <v>74</v>
      </c>
      <c r="BH126" t="s">
        <v>74</v>
      </c>
      <c r="BI126">
        <v>11</v>
      </c>
      <c r="BJ126" t="s">
        <v>2058</v>
      </c>
      <c r="BK126" t="s">
        <v>854</v>
      </c>
      <c r="BL126" t="s">
        <v>2059</v>
      </c>
      <c r="BM126" t="s">
        <v>2060</v>
      </c>
      <c r="BN126" t="s">
        <v>74</v>
      </c>
      <c r="BO126" t="s">
        <v>74</v>
      </c>
      <c r="BP126" t="s">
        <v>74</v>
      </c>
      <c r="BQ126" t="s">
        <v>74</v>
      </c>
      <c r="BR126" t="s">
        <v>97</v>
      </c>
      <c r="BS126" t="s">
        <v>2061</v>
      </c>
      <c r="BT126" t="str">
        <f>HYPERLINK("https%3A%2F%2Fwww.webofscience.com%2Fwos%2Fwoscc%2Ffull-record%2FWOS:000186137400005","View Full Record in Web of Science")</f>
        <v>View Full Record in Web of Science</v>
      </c>
    </row>
    <row r="127" spans="1:72" x14ac:dyDescent="0.15">
      <c r="A127" t="s">
        <v>72</v>
      </c>
      <c r="B127" t="s">
        <v>2062</v>
      </c>
      <c r="C127" t="s">
        <v>74</v>
      </c>
      <c r="D127" t="s">
        <v>74</v>
      </c>
      <c r="E127" t="s">
        <v>74</v>
      </c>
      <c r="F127" t="s">
        <v>2062</v>
      </c>
      <c r="G127" t="s">
        <v>74</v>
      </c>
      <c r="H127" t="s">
        <v>74</v>
      </c>
      <c r="I127" t="s">
        <v>2063</v>
      </c>
      <c r="J127" t="s">
        <v>2064</v>
      </c>
      <c r="K127" t="s">
        <v>74</v>
      </c>
      <c r="L127" t="s">
        <v>74</v>
      </c>
      <c r="M127" t="s">
        <v>77</v>
      </c>
      <c r="N127" t="s">
        <v>78</v>
      </c>
      <c r="O127" t="s">
        <v>74</v>
      </c>
      <c r="P127" t="s">
        <v>74</v>
      </c>
      <c r="Q127" t="s">
        <v>74</v>
      </c>
      <c r="R127" t="s">
        <v>74</v>
      </c>
      <c r="S127" t="s">
        <v>74</v>
      </c>
      <c r="T127" t="s">
        <v>74</v>
      </c>
      <c r="U127" t="s">
        <v>2065</v>
      </c>
      <c r="V127" t="s">
        <v>2066</v>
      </c>
      <c r="W127" t="s">
        <v>2067</v>
      </c>
      <c r="X127" t="s">
        <v>2068</v>
      </c>
      <c r="Y127" t="s">
        <v>2069</v>
      </c>
      <c r="Z127" t="s">
        <v>74</v>
      </c>
      <c r="AA127" t="s">
        <v>74</v>
      </c>
      <c r="AB127" t="s">
        <v>74</v>
      </c>
      <c r="AC127" t="s">
        <v>74</v>
      </c>
      <c r="AD127" t="s">
        <v>74</v>
      </c>
      <c r="AE127" t="s">
        <v>74</v>
      </c>
      <c r="AF127" t="s">
        <v>74</v>
      </c>
      <c r="AG127">
        <v>39</v>
      </c>
      <c r="AH127">
        <v>4</v>
      </c>
      <c r="AI127">
        <v>4</v>
      </c>
      <c r="AJ127">
        <v>0</v>
      </c>
      <c r="AK127">
        <v>5</v>
      </c>
      <c r="AL127" t="s">
        <v>2070</v>
      </c>
      <c r="AM127" t="s">
        <v>2071</v>
      </c>
      <c r="AN127" t="s">
        <v>2072</v>
      </c>
      <c r="AO127" t="s">
        <v>2073</v>
      </c>
      <c r="AP127" t="s">
        <v>74</v>
      </c>
      <c r="AQ127" t="s">
        <v>74</v>
      </c>
      <c r="AR127" t="s">
        <v>2074</v>
      </c>
      <c r="AS127" t="s">
        <v>2075</v>
      </c>
      <c r="AT127" t="s">
        <v>1120</v>
      </c>
      <c r="AU127">
        <v>2003</v>
      </c>
      <c r="AV127">
        <v>77</v>
      </c>
      <c r="AW127">
        <v>3</v>
      </c>
      <c r="AX127" t="s">
        <v>74</v>
      </c>
      <c r="AY127" t="s">
        <v>74</v>
      </c>
      <c r="AZ127" t="s">
        <v>74</v>
      </c>
      <c r="BA127" t="s">
        <v>74</v>
      </c>
      <c r="BB127">
        <v>247</v>
      </c>
      <c r="BC127">
        <v>253</v>
      </c>
      <c r="BD127" t="s">
        <v>74</v>
      </c>
      <c r="BE127" t="s">
        <v>2076</v>
      </c>
      <c r="BF127" t="str">
        <f>HYPERLINK("http://dx.doi.org/10.1079/JOH2003169","http://dx.doi.org/10.1079/JOH2003169")</f>
        <v>http://dx.doi.org/10.1079/JOH2003169</v>
      </c>
      <c r="BG127" t="s">
        <v>74</v>
      </c>
      <c r="BH127" t="s">
        <v>74</v>
      </c>
      <c r="BI127">
        <v>7</v>
      </c>
      <c r="BJ127" t="s">
        <v>2077</v>
      </c>
      <c r="BK127" t="s">
        <v>94</v>
      </c>
      <c r="BL127" t="s">
        <v>2077</v>
      </c>
      <c r="BM127" t="s">
        <v>2078</v>
      </c>
      <c r="BN127">
        <v>12895284</v>
      </c>
      <c r="BO127" t="s">
        <v>74</v>
      </c>
      <c r="BP127" t="s">
        <v>74</v>
      </c>
      <c r="BQ127" t="s">
        <v>74</v>
      </c>
      <c r="BR127" t="s">
        <v>97</v>
      </c>
      <c r="BS127" t="s">
        <v>2079</v>
      </c>
      <c r="BT127" t="str">
        <f>HYPERLINK("https%3A%2F%2Fwww.webofscience.com%2Fwos%2Fwoscc%2Ffull-record%2FWOS:000184515900008","View Full Record in Web of Science")</f>
        <v>View Full Record in Web of Science</v>
      </c>
    </row>
    <row r="128" spans="1:72" x14ac:dyDescent="0.15">
      <c r="A128" t="s">
        <v>72</v>
      </c>
      <c r="B128" t="s">
        <v>2080</v>
      </c>
      <c r="C128" t="s">
        <v>74</v>
      </c>
      <c r="D128" t="s">
        <v>74</v>
      </c>
      <c r="E128" t="s">
        <v>74</v>
      </c>
      <c r="F128" t="s">
        <v>2080</v>
      </c>
      <c r="G128" t="s">
        <v>74</v>
      </c>
      <c r="H128" t="s">
        <v>74</v>
      </c>
      <c r="I128" t="s">
        <v>2081</v>
      </c>
      <c r="J128" t="s">
        <v>2082</v>
      </c>
      <c r="K128" t="s">
        <v>74</v>
      </c>
      <c r="L128" t="s">
        <v>74</v>
      </c>
      <c r="M128" t="s">
        <v>77</v>
      </c>
      <c r="N128" t="s">
        <v>556</v>
      </c>
      <c r="O128" t="s">
        <v>74</v>
      </c>
      <c r="P128" t="s">
        <v>74</v>
      </c>
      <c r="Q128" t="s">
        <v>74</v>
      </c>
      <c r="R128" t="s">
        <v>74</v>
      </c>
      <c r="S128" t="s">
        <v>74</v>
      </c>
      <c r="T128" t="s">
        <v>2083</v>
      </c>
      <c r="U128" t="s">
        <v>2084</v>
      </c>
      <c r="V128" t="s">
        <v>2085</v>
      </c>
      <c r="W128" t="s">
        <v>2086</v>
      </c>
      <c r="X128" t="s">
        <v>2087</v>
      </c>
      <c r="Y128" t="s">
        <v>2088</v>
      </c>
      <c r="Z128" t="s">
        <v>74</v>
      </c>
      <c r="AA128" t="s">
        <v>74</v>
      </c>
      <c r="AB128" t="s">
        <v>74</v>
      </c>
      <c r="AC128" t="s">
        <v>74</v>
      </c>
      <c r="AD128" t="s">
        <v>74</v>
      </c>
      <c r="AE128" t="s">
        <v>74</v>
      </c>
      <c r="AF128" t="s">
        <v>74</v>
      </c>
      <c r="AG128">
        <v>24</v>
      </c>
      <c r="AH128">
        <v>15</v>
      </c>
      <c r="AI128">
        <v>17</v>
      </c>
      <c r="AJ128">
        <v>2</v>
      </c>
      <c r="AK128">
        <v>23</v>
      </c>
      <c r="AL128" t="s">
        <v>110</v>
      </c>
      <c r="AM128" t="s">
        <v>111</v>
      </c>
      <c r="AN128" t="s">
        <v>112</v>
      </c>
      <c r="AO128" t="s">
        <v>2089</v>
      </c>
      <c r="AP128" t="s">
        <v>74</v>
      </c>
      <c r="AQ128" t="s">
        <v>74</v>
      </c>
      <c r="AR128" t="s">
        <v>2090</v>
      </c>
      <c r="AS128" t="s">
        <v>2091</v>
      </c>
      <c r="AT128" t="s">
        <v>2056</v>
      </c>
      <c r="AU128">
        <v>2003</v>
      </c>
      <c r="AV128">
        <v>23</v>
      </c>
      <c r="AW128" t="s">
        <v>2092</v>
      </c>
      <c r="AX128" t="s">
        <v>74</v>
      </c>
      <c r="AY128" t="s">
        <v>74</v>
      </c>
      <c r="AZ128" t="s">
        <v>74</v>
      </c>
      <c r="BA128" t="s">
        <v>74</v>
      </c>
      <c r="BB128">
        <v>65</v>
      </c>
      <c r="BC128">
        <v>70</v>
      </c>
      <c r="BD128" t="s">
        <v>74</v>
      </c>
      <c r="BE128" t="s">
        <v>2093</v>
      </c>
      <c r="BF128" t="str">
        <f>HYPERLINK("http://dx.doi.org/10.1016/S1381-1177(03)00073-0","http://dx.doi.org/10.1016/S1381-1177(03)00073-0")</f>
        <v>http://dx.doi.org/10.1016/S1381-1177(03)00073-0</v>
      </c>
      <c r="BG128" t="s">
        <v>74</v>
      </c>
      <c r="BH128" t="s">
        <v>74</v>
      </c>
      <c r="BI128">
        <v>6</v>
      </c>
      <c r="BJ128" t="s">
        <v>2094</v>
      </c>
      <c r="BK128" t="s">
        <v>94</v>
      </c>
      <c r="BL128" t="s">
        <v>2095</v>
      </c>
      <c r="BM128" t="s">
        <v>2096</v>
      </c>
      <c r="BN128" t="s">
        <v>74</v>
      </c>
      <c r="BO128" t="s">
        <v>74</v>
      </c>
      <c r="BP128" t="s">
        <v>74</v>
      </c>
      <c r="BQ128" t="s">
        <v>74</v>
      </c>
      <c r="BR128" t="s">
        <v>97</v>
      </c>
      <c r="BS128" t="s">
        <v>2097</v>
      </c>
      <c r="BT128" t="str">
        <f>HYPERLINK("https%3A%2F%2Fwww.webofscience.com%2Fwos%2Fwoscc%2Ffull-record%2FWOS:000185270700002","View Full Record in Web of Science")</f>
        <v>View Full Record in Web of Science</v>
      </c>
    </row>
    <row r="129" spans="1:72" x14ac:dyDescent="0.15">
      <c r="A129" t="s">
        <v>72</v>
      </c>
      <c r="B129" t="s">
        <v>2098</v>
      </c>
      <c r="C129" t="s">
        <v>74</v>
      </c>
      <c r="D129" t="s">
        <v>74</v>
      </c>
      <c r="E129" t="s">
        <v>74</v>
      </c>
      <c r="F129" t="s">
        <v>2098</v>
      </c>
      <c r="G129" t="s">
        <v>74</v>
      </c>
      <c r="H129" t="s">
        <v>74</v>
      </c>
      <c r="I129" t="s">
        <v>2099</v>
      </c>
      <c r="J129" t="s">
        <v>182</v>
      </c>
      <c r="K129" t="s">
        <v>74</v>
      </c>
      <c r="L129" t="s">
        <v>74</v>
      </c>
      <c r="M129" t="s">
        <v>77</v>
      </c>
      <c r="N129" t="s">
        <v>78</v>
      </c>
      <c r="O129" t="s">
        <v>74</v>
      </c>
      <c r="P129" t="s">
        <v>74</v>
      </c>
      <c r="Q129" t="s">
        <v>74</v>
      </c>
      <c r="R129" t="s">
        <v>74</v>
      </c>
      <c r="S129" t="s">
        <v>74</v>
      </c>
      <c r="T129" t="s">
        <v>74</v>
      </c>
      <c r="U129" t="s">
        <v>2100</v>
      </c>
      <c r="V129" t="s">
        <v>2101</v>
      </c>
      <c r="W129" t="s">
        <v>2102</v>
      </c>
      <c r="X129" t="s">
        <v>2103</v>
      </c>
      <c r="Y129" t="s">
        <v>2104</v>
      </c>
      <c r="Z129" t="s">
        <v>2105</v>
      </c>
      <c r="AA129" t="s">
        <v>74</v>
      </c>
      <c r="AB129" t="s">
        <v>74</v>
      </c>
      <c r="AC129" t="s">
        <v>74</v>
      </c>
      <c r="AD129" t="s">
        <v>74</v>
      </c>
      <c r="AE129" t="s">
        <v>74</v>
      </c>
      <c r="AF129" t="s">
        <v>74</v>
      </c>
      <c r="AG129">
        <v>75</v>
      </c>
      <c r="AH129">
        <v>56</v>
      </c>
      <c r="AI129">
        <v>59</v>
      </c>
      <c r="AJ129">
        <v>1</v>
      </c>
      <c r="AK129">
        <v>19</v>
      </c>
      <c r="AL129" t="s">
        <v>188</v>
      </c>
      <c r="AM129" t="s">
        <v>170</v>
      </c>
      <c r="AN129" t="s">
        <v>189</v>
      </c>
      <c r="AO129" t="s">
        <v>190</v>
      </c>
      <c r="AP129" t="s">
        <v>2106</v>
      </c>
      <c r="AQ129" t="s">
        <v>74</v>
      </c>
      <c r="AR129" t="s">
        <v>191</v>
      </c>
      <c r="AS129" t="s">
        <v>192</v>
      </c>
      <c r="AT129" t="s">
        <v>1120</v>
      </c>
      <c r="AU129">
        <v>2003</v>
      </c>
      <c r="AV129">
        <v>25</v>
      </c>
      <c r="AW129">
        <v>9</v>
      </c>
      <c r="AX129" t="s">
        <v>74</v>
      </c>
      <c r="AY129" t="s">
        <v>74</v>
      </c>
      <c r="AZ129" t="s">
        <v>74</v>
      </c>
      <c r="BA129" t="s">
        <v>74</v>
      </c>
      <c r="BB129">
        <v>1079</v>
      </c>
      <c r="BC129">
        <v>1097</v>
      </c>
      <c r="BD129" t="s">
        <v>74</v>
      </c>
      <c r="BE129" t="s">
        <v>2107</v>
      </c>
      <c r="BF129" t="str">
        <f>HYPERLINK("http://dx.doi.org/10.1093/plankt/25.9.1079","http://dx.doi.org/10.1093/plankt/25.9.1079")</f>
        <v>http://dx.doi.org/10.1093/plankt/25.9.1079</v>
      </c>
      <c r="BG129" t="s">
        <v>74</v>
      </c>
      <c r="BH129" t="s">
        <v>74</v>
      </c>
      <c r="BI129">
        <v>19</v>
      </c>
      <c r="BJ129" t="s">
        <v>194</v>
      </c>
      <c r="BK129" t="s">
        <v>94</v>
      </c>
      <c r="BL129" t="s">
        <v>194</v>
      </c>
      <c r="BM129" t="s">
        <v>2108</v>
      </c>
      <c r="BN129" t="s">
        <v>74</v>
      </c>
      <c r="BO129" t="s">
        <v>628</v>
      </c>
      <c r="BP129" t="s">
        <v>74</v>
      </c>
      <c r="BQ129" t="s">
        <v>74</v>
      </c>
      <c r="BR129" t="s">
        <v>97</v>
      </c>
      <c r="BS129" t="s">
        <v>2109</v>
      </c>
      <c r="BT129" t="str">
        <f>HYPERLINK("https%3A%2F%2Fwww.webofscience.com%2Fwos%2Fwoscc%2Ffull-record%2FWOS:000185148600007","View Full Record in Web of Science")</f>
        <v>View Full Record in Web of Science</v>
      </c>
    </row>
    <row r="130" spans="1:72" x14ac:dyDescent="0.15">
      <c r="A130" t="s">
        <v>72</v>
      </c>
      <c r="B130" t="s">
        <v>2110</v>
      </c>
      <c r="C130" t="s">
        <v>74</v>
      </c>
      <c r="D130" t="s">
        <v>74</v>
      </c>
      <c r="E130" t="s">
        <v>74</v>
      </c>
      <c r="F130" t="s">
        <v>2110</v>
      </c>
      <c r="G130" t="s">
        <v>74</v>
      </c>
      <c r="H130" t="s">
        <v>74</v>
      </c>
      <c r="I130" t="s">
        <v>2111</v>
      </c>
      <c r="J130" t="s">
        <v>182</v>
      </c>
      <c r="K130" t="s">
        <v>74</v>
      </c>
      <c r="L130" t="s">
        <v>74</v>
      </c>
      <c r="M130" t="s">
        <v>77</v>
      </c>
      <c r="N130" t="s">
        <v>78</v>
      </c>
      <c r="O130" t="s">
        <v>74</v>
      </c>
      <c r="P130" t="s">
        <v>74</v>
      </c>
      <c r="Q130" t="s">
        <v>74</v>
      </c>
      <c r="R130" t="s">
        <v>74</v>
      </c>
      <c r="S130" t="s">
        <v>74</v>
      </c>
      <c r="T130" t="s">
        <v>74</v>
      </c>
      <c r="U130" t="s">
        <v>2112</v>
      </c>
      <c r="V130" t="s">
        <v>2113</v>
      </c>
      <c r="W130" t="s">
        <v>2114</v>
      </c>
      <c r="X130" t="s">
        <v>2115</v>
      </c>
      <c r="Y130" t="s">
        <v>2116</v>
      </c>
      <c r="Z130" t="s">
        <v>74</v>
      </c>
      <c r="AA130" t="s">
        <v>2117</v>
      </c>
      <c r="AB130" t="s">
        <v>2118</v>
      </c>
      <c r="AC130" t="s">
        <v>74</v>
      </c>
      <c r="AD130" t="s">
        <v>74</v>
      </c>
      <c r="AE130" t="s">
        <v>74</v>
      </c>
      <c r="AF130" t="s">
        <v>74</v>
      </c>
      <c r="AG130">
        <v>54</v>
      </c>
      <c r="AH130">
        <v>61</v>
      </c>
      <c r="AI130">
        <v>74</v>
      </c>
      <c r="AJ130">
        <v>1</v>
      </c>
      <c r="AK130">
        <v>16</v>
      </c>
      <c r="AL130" t="s">
        <v>188</v>
      </c>
      <c r="AM130" t="s">
        <v>170</v>
      </c>
      <c r="AN130" t="s">
        <v>189</v>
      </c>
      <c r="AO130" t="s">
        <v>190</v>
      </c>
      <c r="AP130" t="s">
        <v>74</v>
      </c>
      <c r="AQ130" t="s">
        <v>74</v>
      </c>
      <c r="AR130" t="s">
        <v>191</v>
      </c>
      <c r="AS130" t="s">
        <v>192</v>
      </c>
      <c r="AT130" t="s">
        <v>1120</v>
      </c>
      <c r="AU130">
        <v>2003</v>
      </c>
      <c r="AV130">
        <v>25</v>
      </c>
      <c r="AW130">
        <v>9</v>
      </c>
      <c r="AX130" t="s">
        <v>74</v>
      </c>
      <c r="AY130" t="s">
        <v>74</v>
      </c>
      <c r="AZ130" t="s">
        <v>74</v>
      </c>
      <c r="BA130" t="s">
        <v>74</v>
      </c>
      <c r="BB130">
        <v>1107</v>
      </c>
      <c r="BC130">
        <v>1129</v>
      </c>
      <c r="BD130" t="s">
        <v>74</v>
      </c>
      <c r="BE130" t="s">
        <v>2119</v>
      </c>
      <c r="BF130" t="str">
        <f>HYPERLINK("http://dx.doi.org/10.1093/plankt/25.9.1107","http://dx.doi.org/10.1093/plankt/25.9.1107")</f>
        <v>http://dx.doi.org/10.1093/plankt/25.9.1107</v>
      </c>
      <c r="BG130" t="s">
        <v>74</v>
      </c>
      <c r="BH130" t="s">
        <v>74</v>
      </c>
      <c r="BI130">
        <v>23</v>
      </c>
      <c r="BJ130" t="s">
        <v>194</v>
      </c>
      <c r="BK130" t="s">
        <v>94</v>
      </c>
      <c r="BL130" t="s">
        <v>194</v>
      </c>
      <c r="BM130" t="s">
        <v>2108</v>
      </c>
      <c r="BN130" t="s">
        <v>74</v>
      </c>
      <c r="BO130" t="s">
        <v>74</v>
      </c>
      <c r="BP130" t="s">
        <v>74</v>
      </c>
      <c r="BQ130" t="s">
        <v>74</v>
      </c>
      <c r="BR130" t="s">
        <v>97</v>
      </c>
      <c r="BS130" t="s">
        <v>2120</v>
      </c>
      <c r="BT130" t="str">
        <f>HYPERLINK("https%3A%2F%2Fwww.webofscience.com%2Fwos%2Fwoscc%2Ffull-record%2FWOS:000185148600009","View Full Record in Web of Science")</f>
        <v>View Full Record in Web of Science</v>
      </c>
    </row>
    <row r="131" spans="1:72" x14ac:dyDescent="0.15">
      <c r="A131" t="s">
        <v>72</v>
      </c>
      <c r="B131" t="s">
        <v>2121</v>
      </c>
      <c r="C131" t="s">
        <v>74</v>
      </c>
      <c r="D131" t="s">
        <v>74</v>
      </c>
      <c r="E131" t="s">
        <v>74</v>
      </c>
      <c r="F131" t="s">
        <v>2121</v>
      </c>
      <c r="G131" t="s">
        <v>74</v>
      </c>
      <c r="H131" t="s">
        <v>74</v>
      </c>
      <c r="I131" t="s">
        <v>2122</v>
      </c>
      <c r="J131" t="s">
        <v>2123</v>
      </c>
      <c r="K131" t="s">
        <v>74</v>
      </c>
      <c r="L131" t="s">
        <v>74</v>
      </c>
      <c r="M131" t="s">
        <v>77</v>
      </c>
      <c r="N131" t="s">
        <v>78</v>
      </c>
      <c r="O131" t="s">
        <v>74</v>
      </c>
      <c r="P131" t="s">
        <v>74</v>
      </c>
      <c r="Q131" t="s">
        <v>74</v>
      </c>
      <c r="R131" t="s">
        <v>74</v>
      </c>
      <c r="S131" t="s">
        <v>74</v>
      </c>
      <c r="T131" t="s">
        <v>74</v>
      </c>
      <c r="U131" t="s">
        <v>2124</v>
      </c>
      <c r="V131" t="s">
        <v>2125</v>
      </c>
      <c r="W131" t="s">
        <v>2126</v>
      </c>
      <c r="X131" t="s">
        <v>2127</v>
      </c>
      <c r="Y131" t="s">
        <v>2128</v>
      </c>
      <c r="Z131" t="s">
        <v>2129</v>
      </c>
      <c r="AA131" t="s">
        <v>2130</v>
      </c>
      <c r="AB131" t="s">
        <v>2131</v>
      </c>
      <c r="AC131" t="s">
        <v>74</v>
      </c>
      <c r="AD131" t="s">
        <v>74</v>
      </c>
      <c r="AE131" t="s">
        <v>74</v>
      </c>
      <c r="AF131" t="s">
        <v>74</v>
      </c>
      <c r="AG131">
        <v>44</v>
      </c>
      <c r="AH131">
        <v>178</v>
      </c>
      <c r="AI131">
        <v>205</v>
      </c>
      <c r="AJ131">
        <v>1</v>
      </c>
      <c r="AK131">
        <v>43</v>
      </c>
      <c r="AL131" t="s">
        <v>250</v>
      </c>
      <c r="AM131" t="s">
        <v>251</v>
      </c>
      <c r="AN131" t="s">
        <v>252</v>
      </c>
      <c r="AO131" t="s">
        <v>2132</v>
      </c>
      <c r="AP131" t="s">
        <v>2133</v>
      </c>
      <c r="AQ131" t="s">
        <v>74</v>
      </c>
      <c r="AR131" t="s">
        <v>2134</v>
      </c>
      <c r="AS131" t="s">
        <v>2135</v>
      </c>
      <c r="AT131" t="s">
        <v>1120</v>
      </c>
      <c r="AU131">
        <v>2003</v>
      </c>
      <c r="AV131">
        <v>48</v>
      </c>
      <c r="AW131">
        <v>5</v>
      </c>
      <c r="AX131" t="s">
        <v>74</v>
      </c>
      <c r="AY131" t="s">
        <v>74</v>
      </c>
      <c r="AZ131" t="s">
        <v>74</v>
      </c>
      <c r="BA131" t="s">
        <v>74</v>
      </c>
      <c r="BB131">
        <v>1893</v>
      </c>
      <c r="BC131">
        <v>1902</v>
      </c>
      <c r="BD131" t="s">
        <v>74</v>
      </c>
      <c r="BE131" t="s">
        <v>2136</v>
      </c>
      <c r="BF131" t="str">
        <f>HYPERLINK("http://dx.doi.org/10.4319/lo.2003.48.5.1893","http://dx.doi.org/10.4319/lo.2003.48.5.1893")</f>
        <v>http://dx.doi.org/10.4319/lo.2003.48.5.1893</v>
      </c>
      <c r="BG131" t="s">
        <v>74</v>
      </c>
      <c r="BH131" t="s">
        <v>74</v>
      </c>
      <c r="BI131">
        <v>10</v>
      </c>
      <c r="BJ131" t="s">
        <v>2137</v>
      </c>
      <c r="BK131" t="s">
        <v>94</v>
      </c>
      <c r="BL131" t="s">
        <v>194</v>
      </c>
      <c r="BM131" t="s">
        <v>2138</v>
      </c>
      <c r="BN131" t="s">
        <v>74</v>
      </c>
      <c r="BO131" t="s">
        <v>2139</v>
      </c>
      <c r="BP131" t="s">
        <v>74</v>
      </c>
      <c r="BQ131" t="s">
        <v>74</v>
      </c>
      <c r="BR131" t="s">
        <v>97</v>
      </c>
      <c r="BS131" t="s">
        <v>2140</v>
      </c>
      <c r="BT131" t="str">
        <f>HYPERLINK("https%3A%2F%2Fwww.webofscience.com%2Fwos%2Fwoscc%2Ffull-record%2FWOS:000185433700016","View Full Record in Web of Science")</f>
        <v>View Full Record in Web of Science</v>
      </c>
    </row>
    <row r="132" spans="1:72" x14ac:dyDescent="0.15">
      <c r="A132" t="s">
        <v>72</v>
      </c>
      <c r="B132" t="s">
        <v>2141</v>
      </c>
      <c r="C132" t="s">
        <v>74</v>
      </c>
      <c r="D132" t="s">
        <v>74</v>
      </c>
      <c r="E132" t="s">
        <v>74</v>
      </c>
      <c r="F132" t="s">
        <v>2141</v>
      </c>
      <c r="G132" t="s">
        <v>74</v>
      </c>
      <c r="H132" t="s">
        <v>74</v>
      </c>
      <c r="I132" t="s">
        <v>2142</v>
      </c>
      <c r="J132" t="s">
        <v>2123</v>
      </c>
      <c r="K132" t="s">
        <v>74</v>
      </c>
      <c r="L132" t="s">
        <v>74</v>
      </c>
      <c r="M132" t="s">
        <v>77</v>
      </c>
      <c r="N132" t="s">
        <v>78</v>
      </c>
      <c r="O132" t="s">
        <v>74</v>
      </c>
      <c r="P132" t="s">
        <v>74</v>
      </c>
      <c r="Q132" t="s">
        <v>74</v>
      </c>
      <c r="R132" t="s">
        <v>74</v>
      </c>
      <c r="S132" t="s">
        <v>74</v>
      </c>
      <c r="T132" t="s">
        <v>74</v>
      </c>
      <c r="U132" t="s">
        <v>2143</v>
      </c>
      <c r="V132" t="s">
        <v>2144</v>
      </c>
      <c r="W132" t="s">
        <v>2145</v>
      </c>
      <c r="X132" t="s">
        <v>2146</v>
      </c>
      <c r="Y132" t="s">
        <v>2147</v>
      </c>
      <c r="Z132" t="s">
        <v>74</v>
      </c>
      <c r="AA132" t="s">
        <v>2148</v>
      </c>
      <c r="AB132" t="s">
        <v>2149</v>
      </c>
      <c r="AC132" t="s">
        <v>74</v>
      </c>
      <c r="AD132" t="s">
        <v>74</v>
      </c>
      <c r="AE132" t="s">
        <v>74</v>
      </c>
      <c r="AF132" t="s">
        <v>74</v>
      </c>
      <c r="AG132">
        <v>79</v>
      </c>
      <c r="AH132">
        <v>284</v>
      </c>
      <c r="AI132">
        <v>311</v>
      </c>
      <c r="AJ132">
        <v>0</v>
      </c>
      <c r="AK132">
        <v>72</v>
      </c>
      <c r="AL132" t="s">
        <v>2150</v>
      </c>
      <c r="AM132" t="s">
        <v>2151</v>
      </c>
      <c r="AN132" t="s">
        <v>2152</v>
      </c>
      <c r="AO132" t="s">
        <v>2132</v>
      </c>
      <c r="AP132" t="s">
        <v>74</v>
      </c>
      <c r="AQ132" t="s">
        <v>74</v>
      </c>
      <c r="AR132" t="s">
        <v>2134</v>
      </c>
      <c r="AS132" t="s">
        <v>2135</v>
      </c>
      <c r="AT132" t="s">
        <v>1120</v>
      </c>
      <c r="AU132">
        <v>2003</v>
      </c>
      <c r="AV132">
        <v>48</v>
      </c>
      <c r="AW132">
        <v>5</v>
      </c>
      <c r="AX132" t="s">
        <v>74</v>
      </c>
      <c r="AY132" t="s">
        <v>74</v>
      </c>
      <c r="AZ132" t="s">
        <v>74</v>
      </c>
      <c r="BA132" t="s">
        <v>74</v>
      </c>
      <c r="BB132">
        <v>1988</v>
      </c>
      <c r="BC132">
        <v>2010</v>
      </c>
      <c r="BD132" t="s">
        <v>74</v>
      </c>
      <c r="BE132" t="s">
        <v>2153</v>
      </c>
      <c r="BF132" t="str">
        <f>HYPERLINK("http://dx.doi.org/10.4319/lo.2003.48.5.1988","http://dx.doi.org/10.4319/lo.2003.48.5.1988")</f>
        <v>http://dx.doi.org/10.4319/lo.2003.48.5.1988</v>
      </c>
      <c r="BG132" t="s">
        <v>74</v>
      </c>
      <c r="BH132" t="s">
        <v>74</v>
      </c>
      <c r="BI132">
        <v>23</v>
      </c>
      <c r="BJ132" t="s">
        <v>2137</v>
      </c>
      <c r="BK132" t="s">
        <v>94</v>
      </c>
      <c r="BL132" t="s">
        <v>194</v>
      </c>
      <c r="BM132" t="s">
        <v>2138</v>
      </c>
      <c r="BN132" t="s">
        <v>74</v>
      </c>
      <c r="BO132" t="s">
        <v>2139</v>
      </c>
      <c r="BP132" t="s">
        <v>74</v>
      </c>
      <c r="BQ132" t="s">
        <v>74</v>
      </c>
      <c r="BR132" t="s">
        <v>97</v>
      </c>
      <c r="BS132" t="s">
        <v>2154</v>
      </c>
      <c r="BT132" t="str">
        <f>HYPERLINK("https%3A%2F%2Fwww.webofscience.com%2Fwos%2Fwoscc%2Ffull-record%2FWOS:000185433700026","View Full Record in Web of Science")</f>
        <v>View Full Record in Web of Science</v>
      </c>
    </row>
    <row r="133" spans="1:72" x14ac:dyDescent="0.15">
      <c r="A133" t="s">
        <v>72</v>
      </c>
      <c r="B133" t="s">
        <v>2155</v>
      </c>
      <c r="C133" t="s">
        <v>74</v>
      </c>
      <c r="D133" t="s">
        <v>74</v>
      </c>
      <c r="E133" t="s">
        <v>74</v>
      </c>
      <c r="F133" t="s">
        <v>2155</v>
      </c>
      <c r="G133" t="s">
        <v>74</v>
      </c>
      <c r="H133" t="s">
        <v>74</v>
      </c>
      <c r="I133" t="s">
        <v>2156</v>
      </c>
      <c r="J133" t="s">
        <v>2123</v>
      </c>
      <c r="K133" t="s">
        <v>74</v>
      </c>
      <c r="L133" t="s">
        <v>74</v>
      </c>
      <c r="M133" t="s">
        <v>77</v>
      </c>
      <c r="N133" t="s">
        <v>78</v>
      </c>
      <c r="O133" t="s">
        <v>74</v>
      </c>
      <c r="P133" t="s">
        <v>74</v>
      </c>
      <c r="Q133" t="s">
        <v>74</v>
      </c>
      <c r="R133" t="s">
        <v>74</v>
      </c>
      <c r="S133" t="s">
        <v>74</v>
      </c>
      <c r="T133" t="s">
        <v>74</v>
      </c>
      <c r="U133" t="s">
        <v>2157</v>
      </c>
      <c r="V133" t="s">
        <v>2158</v>
      </c>
      <c r="W133" t="s">
        <v>2159</v>
      </c>
      <c r="X133" t="s">
        <v>2160</v>
      </c>
      <c r="Y133" t="s">
        <v>2161</v>
      </c>
      <c r="Z133" t="s">
        <v>74</v>
      </c>
      <c r="AA133" t="s">
        <v>74</v>
      </c>
      <c r="AB133" t="s">
        <v>74</v>
      </c>
      <c r="AC133" t="s">
        <v>74</v>
      </c>
      <c r="AD133" t="s">
        <v>74</v>
      </c>
      <c r="AE133" t="s">
        <v>74</v>
      </c>
      <c r="AF133" t="s">
        <v>74</v>
      </c>
      <c r="AG133">
        <v>47</v>
      </c>
      <c r="AH133">
        <v>37</v>
      </c>
      <c r="AI133">
        <v>38</v>
      </c>
      <c r="AJ133">
        <v>0</v>
      </c>
      <c r="AK133">
        <v>6</v>
      </c>
      <c r="AL133" t="s">
        <v>2150</v>
      </c>
      <c r="AM133" t="s">
        <v>2151</v>
      </c>
      <c r="AN133" t="s">
        <v>2152</v>
      </c>
      <c r="AO133" t="s">
        <v>2132</v>
      </c>
      <c r="AP133" t="s">
        <v>74</v>
      </c>
      <c r="AQ133" t="s">
        <v>74</v>
      </c>
      <c r="AR133" t="s">
        <v>2134</v>
      </c>
      <c r="AS133" t="s">
        <v>2135</v>
      </c>
      <c r="AT133" t="s">
        <v>1120</v>
      </c>
      <c r="AU133">
        <v>2003</v>
      </c>
      <c r="AV133">
        <v>48</v>
      </c>
      <c r="AW133">
        <v>5</v>
      </c>
      <c r="AX133" t="s">
        <v>74</v>
      </c>
      <c r="AY133" t="s">
        <v>74</v>
      </c>
      <c r="AZ133" t="s">
        <v>74</v>
      </c>
      <c r="BA133" t="s">
        <v>74</v>
      </c>
      <c r="BB133">
        <v>2020</v>
      </c>
      <c r="BC133">
        <v>2033</v>
      </c>
      <c r="BD133" t="s">
        <v>74</v>
      </c>
      <c r="BE133" t="s">
        <v>2162</v>
      </c>
      <c r="BF133" t="str">
        <f>HYPERLINK("http://dx.doi.org/10.4319/lo.2003.48.5.2020","http://dx.doi.org/10.4319/lo.2003.48.5.2020")</f>
        <v>http://dx.doi.org/10.4319/lo.2003.48.5.2020</v>
      </c>
      <c r="BG133" t="s">
        <v>74</v>
      </c>
      <c r="BH133" t="s">
        <v>74</v>
      </c>
      <c r="BI133">
        <v>14</v>
      </c>
      <c r="BJ133" t="s">
        <v>2137</v>
      </c>
      <c r="BK133" t="s">
        <v>94</v>
      </c>
      <c r="BL133" t="s">
        <v>194</v>
      </c>
      <c r="BM133" t="s">
        <v>2138</v>
      </c>
      <c r="BN133" t="s">
        <v>74</v>
      </c>
      <c r="BO133" t="s">
        <v>96</v>
      </c>
      <c r="BP133" t="s">
        <v>74</v>
      </c>
      <c r="BQ133" t="s">
        <v>74</v>
      </c>
      <c r="BR133" t="s">
        <v>97</v>
      </c>
      <c r="BS133" t="s">
        <v>2163</v>
      </c>
      <c r="BT133" t="str">
        <f>HYPERLINK("https%3A%2F%2Fwww.webofscience.com%2Fwos%2Fwoscc%2Ffull-record%2FWOS:000185433700028","View Full Record in Web of Science")</f>
        <v>View Full Record in Web of Science</v>
      </c>
    </row>
    <row r="134" spans="1:72" x14ac:dyDescent="0.15">
      <c r="A134" t="s">
        <v>72</v>
      </c>
      <c r="B134" t="s">
        <v>2164</v>
      </c>
      <c r="C134" t="s">
        <v>74</v>
      </c>
      <c r="D134" t="s">
        <v>74</v>
      </c>
      <c r="E134" t="s">
        <v>74</v>
      </c>
      <c r="F134" t="s">
        <v>2164</v>
      </c>
      <c r="G134" t="s">
        <v>74</v>
      </c>
      <c r="H134" t="s">
        <v>74</v>
      </c>
      <c r="I134" t="s">
        <v>2165</v>
      </c>
      <c r="J134" t="s">
        <v>2123</v>
      </c>
      <c r="K134" t="s">
        <v>74</v>
      </c>
      <c r="L134" t="s">
        <v>74</v>
      </c>
      <c r="M134" t="s">
        <v>77</v>
      </c>
      <c r="N134" t="s">
        <v>78</v>
      </c>
      <c r="O134" t="s">
        <v>74</v>
      </c>
      <c r="P134" t="s">
        <v>74</v>
      </c>
      <c r="Q134" t="s">
        <v>74</v>
      </c>
      <c r="R134" t="s">
        <v>74</v>
      </c>
      <c r="S134" t="s">
        <v>74</v>
      </c>
      <c r="T134" t="s">
        <v>74</v>
      </c>
      <c r="U134" t="s">
        <v>2166</v>
      </c>
      <c r="V134" t="s">
        <v>2167</v>
      </c>
      <c r="W134" t="s">
        <v>2168</v>
      </c>
      <c r="X134" t="s">
        <v>2169</v>
      </c>
      <c r="Y134" t="s">
        <v>2170</v>
      </c>
      <c r="Z134" t="s">
        <v>74</v>
      </c>
      <c r="AA134" t="s">
        <v>2171</v>
      </c>
      <c r="AB134" t="s">
        <v>2172</v>
      </c>
      <c r="AC134" t="s">
        <v>74</v>
      </c>
      <c r="AD134" t="s">
        <v>74</v>
      </c>
      <c r="AE134" t="s">
        <v>74</v>
      </c>
      <c r="AF134" t="s">
        <v>74</v>
      </c>
      <c r="AG134">
        <v>30</v>
      </c>
      <c r="AH134">
        <v>59</v>
      </c>
      <c r="AI134">
        <v>63</v>
      </c>
      <c r="AJ134">
        <v>0</v>
      </c>
      <c r="AK134">
        <v>25</v>
      </c>
      <c r="AL134" t="s">
        <v>2150</v>
      </c>
      <c r="AM134" t="s">
        <v>2151</v>
      </c>
      <c r="AN134" t="s">
        <v>2152</v>
      </c>
      <c r="AO134" t="s">
        <v>2132</v>
      </c>
      <c r="AP134" t="s">
        <v>74</v>
      </c>
      <c r="AQ134" t="s">
        <v>74</v>
      </c>
      <c r="AR134" t="s">
        <v>2134</v>
      </c>
      <c r="AS134" t="s">
        <v>2135</v>
      </c>
      <c r="AT134" t="s">
        <v>1120</v>
      </c>
      <c r="AU134">
        <v>2003</v>
      </c>
      <c r="AV134">
        <v>48</v>
      </c>
      <c r="AW134">
        <v>5</v>
      </c>
      <c r="AX134" t="s">
        <v>74</v>
      </c>
      <c r="AY134" t="s">
        <v>74</v>
      </c>
      <c r="AZ134" t="s">
        <v>74</v>
      </c>
      <c r="BA134" t="s">
        <v>74</v>
      </c>
      <c r="BB134">
        <v>2062</v>
      </c>
      <c r="BC134">
        <v>2069</v>
      </c>
      <c r="BD134" t="s">
        <v>74</v>
      </c>
      <c r="BE134" t="s">
        <v>2173</v>
      </c>
      <c r="BF134" t="str">
        <f>HYPERLINK("http://dx.doi.org/10.4319/lo.2003.48.5.2062","http://dx.doi.org/10.4319/lo.2003.48.5.2062")</f>
        <v>http://dx.doi.org/10.4319/lo.2003.48.5.2062</v>
      </c>
      <c r="BG134" t="s">
        <v>74</v>
      </c>
      <c r="BH134" t="s">
        <v>74</v>
      </c>
      <c r="BI134">
        <v>8</v>
      </c>
      <c r="BJ134" t="s">
        <v>2137</v>
      </c>
      <c r="BK134" t="s">
        <v>94</v>
      </c>
      <c r="BL134" t="s">
        <v>194</v>
      </c>
      <c r="BM134" t="s">
        <v>2138</v>
      </c>
      <c r="BN134" t="s">
        <v>74</v>
      </c>
      <c r="BO134" t="s">
        <v>96</v>
      </c>
      <c r="BP134" t="s">
        <v>74</v>
      </c>
      <c r="BQ134" t="s">
        <v>74</v>
      </c>
      <c r="BR134" t="s">
        <v>97</v>
      </c>
      <c r="BS134" t="s">
        <v>2174</v>
      </c>
      <c r="BT134" t="str">
        <f>HYPERLINK("https%3A%2F%2Fwww.webofscience.com%2Fwos%2Fwoscc%2Ffull-record%2FWOS:000185433700032","View Full Record in Web of Science")</f>
        <v>View Full Record in Web of Science</v>
      </c>
    </row>
    <row r="135" spans="1:72" x14ac:dyDescent="0.15">
      <c r="A135" t="s">
        <v>72</v>
      </c>
      <c r="B135" t="s">
        <v>2175</v>
      </c>
      <c r="C135" t="s">
        <v>74</v>
      </c>
      <c r="D135" t="s">
        <v>74</v>
      </c>
      <c r="E135" t="s">
        <v>74</v>
      </c>
      <c r="F135" t="s">
        <v>2175</v>
      </c>
      <c r="G135" t="s">
        <v>74</v>
      </c>
      <c r="H135" t="s">
        <v>74</v>
      </c>
      <c r="I135" t="s">
        <v>2176</v>
      </c>
      <c r="J135" t="s">
        <v>2177</v>
      </c>
      <c r="K135" t="s">
        <v>74</v>
      </c>
      <c r="L135" t="s">
        <v>74</v>
      </c>
      <c r="M135" t="s">
        <v>77</v>
      </c>
      <c r="N135" t="s">
        <v>78</v>
      </c>
      <c r="O135" t="s">
        <v>74</v>
      </c>
      <c r="P135" t="s">
        <v>74</v>
      </c>
      <c r="Q135" t="s">
        <v>74</v>
      </c>
      <c r="R135" t="s">
        <v>74</v>
      </c>
      <c r="S135" t="s">
        <v>74</v>
      </c>
      <c r="T135" t="s">
        <v>74</v>
      </c>
      <c r="U135" t="s">
        <v>2178</v>
      </c>
      <c r="V135" t="s">
        <v>2179</v>
      </c>
      <c r="W135" t="s">
        <v>2180</v>
      </c>
      <c r="X135" t="s">
        <v>2181</v>
      </c>
      <c r="Y135" t="s">
        <v>2182</v>
      </c>
      <c r="Z135" t="s">
        <v>2183</v>
      </c>
      <c r="AA135" t="s">
        <v>1168</v>
      </c>
      <c r="AB135" t="s">
        <v>2184</v>
      </c>
      <c r="AC135" t="s">
        <v>74</v>
      </c>
      <c r="AD135" t="s">
        <v>74</v>
      </c>
      <c r="AE135" t="s">
        <v>74</v>
      </c>
      <c r="AF135" t="s">
        <v>74</v>
      </c>
      <c r="AG135">
        <v>54</v>
      </c>
      <c r="AH135">
        <v>58</v>
      </c>
      <c r="AI135">
        <v>63</v>
      </c>
      <c r="AJ135">
        <v>0</v>
      </c>
      <c r="AK135">
        <v>25</v>
      </c>
      <c r="AL135" t="s">
        <v>2185</v>
      </c>
      <c r="AM135" t="s">
        <v>2186</v>
      </c>
      <c r="AN135" t="s">
        <v>2187</v>
      </c>
      <c r="AO135" t="s">
        <v>2188</v>
      </c>
      <c r="AP135" t="s">
        <v>2189</v>
      </c>
      <c r="AQ135" t="s">
        <v>74</v>
      </c>
      <c r="AR135" t="s">
        <v>2190</v>
      </c>
      <c r="AS135" t="s">
        <v>2191</v>
      </c>
      <c r="AT135" t="s">
        <v>1120</v>
      </c>
      <c r="AU135">
        <v>2003</v>
      </c>
      <c r="AV135">
        <v>143</v>
      </c>
      <c r="AW135">
        <v>3</v>
      </c>
      <c r="AX135" t="s">
        <v>74</v>
      </c>
      <c r="AY135" t="s">
        <v>74</v>
      </c>
      <c r="AZ135" t="s">
        <v>74</v>
      </c>
      <c r="BA135" t="s">
        <v>74</v>
      </c>
      <c r="BB135">
        <v>443</v>
      </c>
      <c r="BC135">
        <v>449</v>
      </c>
      <c r="BD135" t="s">
        <v>74</v>
      </c>
      <c r="BE135" t="s">
        <v>2192</v>
      </c>
      <c r="BF135" t="str">
        <f>HYPERLINK("http://dx.doi.org/10.1007/s00227-003-1109-5","http://dx.doi.org/10.1007/s00227-003-1109-5")</f>
        <v>http://dx.doi.org/10.1007/s00227-003-1109-5</v>
      </c>
      <c r="BG135" t="s">
        <v>74</v>
      </c>
      <c r="BH135" t="s">
        <v>74</v>
      </c>
      <c r="BI135">
        <v>7</v>
      </c>
      <c r="BJ135" t="s">
        <v>235</v>
      </c>
      <c r="BK135" t="s">
        <v>94</v>
      </c>
      <c r="BL135" t="s">
        <v>235</v>
      </c>
      <c r="BM135" t="s">
        <v>2193</v>
      </c>
      <c r="BN135" t="s">
        <v>74</v>
      </c>
      <c r="BO135" t="s">
        <v>74</v>
      </c>
      <c r="BP135" t="s">
        <v>74</v>
      </c>
      <c r="BQ135" t="s">
        <v>74</v>
      </c>
      <c r="BR135" t="s">
        <v>97</v>
      </c>
      <c r="BS135" t="s">
        <v>2194</v>
      </c>
      <c r="BT135" t="str">
        <f>HYPERLINK("https%3A%2F%2Fwww.webofscience.com%2Fwos%2Fwoscc%2Ffull-record%2FWOS:000185672200003","View Full Record in Web of Science")</f>
        <v>View Full Record in Web of Science</v>
      </c>
    </row>
    <row r="136" spans="1:72" x14ac:dyDescent="0.15">
      <c r="A136" t="s">
        <v>72</v>
      </c>
      <c r="B136" t="s">
        <v>2195</v>
      </c>
      <c r="C136" t="s">
        <v>74</v>
      </c>
      <c r="D136" t="s">
        <v>74</v>
      </c>
      <c r="E136" t="s">
        <v>74</v>
      </c>
      <c r="F136" t="s">
        <v>2195</v>
      </c>
      <c r="G136" t="s">
        <v>74</v>
      </c>
      <c r="H136" t="s">
        <v>74</v>
      </c>
      <c r="I136" t="s">
        <v>2196</v>
      </c>
      <c r="J136" t="s">
        <v>2177</v>
      </c>
      <c r="K136" t="s">
        <v>74</v>
      </c>
      <c r="L136" t="s">
        <v>74</v>
      </c>
      <c r="M136" t="s">
        <v>77</v>
      </c>
      <c r="N136" t="s">
        <v>78</v>
      </c>
      <c r="O136" t="s">
        <v>74</v>
      </c>
      <c r="P136" t="s">
        <v>74</v>
      </c>
      <c r="Q136" t="s">
        <v>74</v>
      </c>
      <c r="R136" t="s">
        <v>74</v>
      </c>
      <c r="S136" t="s">
        <v>74</v>
      </c>
      <c r="T136" t="s">
        <v>74</v>
      </c>
      <c r="U136" t="s">
        <v>2197</v>
      </c>
      <c r="V136" t="s">
        <v>2198</v>
      </c>
      <c r="W136" t="s">
        <v>370</v>
      </c>
      <c r="X136" t="s">
        <v>371</v>
      </c>
      <c r="Y136" t="s">
        <v>2199</v>
      </c>
      <c r="Z136" t="s">
        <v>2200</v>
      </c>
      <c r="AA136" t="s">
        <v>74</v>
      </c>
      <c r="AB136" t="s">
        <v>2201</v>
      </c>
      <c r="AC136" t="s">
        <v>74</v>
      </c>
      <c r="AD136" t="s">
        <v>74</v>
      </c>
      <c r="AE136" t="s">
        <v>74</v>
      </c>
      <c r="AF136" t="s">
        <v>74</v>
      </c>
      <c r="AG136">
        <v>83</v>
      </c>
      <c r="AH136">
        <v>31</v>
      </c>
      <c r="AI136">
        <v>35</v>
      </c>
      <c r="AJ136">
        <v>0</v>
      </c>
      <c r="AK136">
        <v>8</v>
      </c>
      <c r="AL136" t="s">
        <v>2185</v>
      </c>
      <c r="AM136" t="s">
        <v>2186</v>
      </c>
      <c r="AN136" t="s">
        <v>2187</v>
      </c>
      <c r="AO136" t="s">
        <v>2188</v>
      </c>
      <c r="AP136" t="s">
        <v>2189</v>
      </c>
      <c r="AQ136" t="s">
        <v>74</v>
      </c>
      <c r="AR136" t="s">
        <v>2190</v>
      </c>
      <c r="AS136" t="s">
        <v>2191</v>
      </c>
      <c r="AT136" t="s">
        <v>1120</v>
      </c>
      <c r="AU136">
        <v>2003</v>
      </c>
      <c r="AV136">
        <v>143</v>
      </c>
      <c r="AW136">
        <v>3</v>
      </c>
      <c r="AX136" t="s">
        <v>74</v>
      </c>
      <c r="AY136" t="s">
        <v>74</v>
      </c>
      <c r="AZ136" t="s">
        <v>74</v>
      </c>
      <c r="BA136" t="s">
        <v>74</v>
      </c>
      <c r="BB136">
        <v>477</v>
      </c>
      <c r="BC136">
        <v>484</v>
      </c>
      <c r="BD136" t="s">
        <v>74</v>
      </c>
      <c r="BE136" t="s">
        <v>2202</v>
      </c>
      <c r="BF136" t="str">
        <f>HYPERLINK("http://dx.doi.org/10.1007/s00227-003-1079-7","http://dx.doi.org/10.1007/s00227-003-1079-7")</f>
        <v>http://dx.doi.org/10.1007/s00227-003-1079-7</v>
      </c>
      <c r="BG136" t="s">
        <v>74</v>
      </c>
      <c r="BH136" t="s">
        <v>74</v>
      </c>
      <c r="BI136">
        <v>8</v>
      </c>
      <c r="BJ136" t="s">
        <v>235</v>
      </c>
      <c r="BK136" t="s">
        <v>94</v>
      </c>
      <c r="BL136" t="s">
        <v>235</v>
      </c>
      <c r="BM136" t="s">
        <v>2193</v>
      </c>
      <c r="BN136" t="s">
        <v>74</v>
      </c>
      <c r="BO136" t="s">
        <v>1767</v>
      </c>
      <c r="BP136" t="s">
        <v>74</v>
      </c>
      <c r="BQ136" t="s">
        <v>74</v>
      </c>
      <c r="BR136" t="s">
        <v>97</v>
      </c>
      <c r="BS136" t="s">
        <v>2203</v>
      </c>
      <c r="BT136" t="str">
        <f>HYPERLINK("https%3A%2F%2Fwww.webofscience.com%2Fwos%2Fwoscc%2Ffull-record%2FWOS:000185672200007","View Full Record in Web of Science")</f>
        <v>View Full Record in Web of Science</v>
      </c>
    </row>
    <row r="137" spans="1:72" x14ac:dyDescent="0.15">
      <c r="A137" t="s">
        <v>72</v>
      </c>
      <c r="B137" t="s">
        <v>2204</v>
      </c>
      <c r="C137" t="s">
        <v>74</v>
      </c>
      <c r="D137" t="s">
        <v>74</v>
      </c>
      <c r="E137" t="s">
        <v>74</v>
      </c>
      <c r="F137" t="s">
        <v>2204</v>
      </c>
      <c r="G137" t="s">
        <v>74</v>
      </c>
      <c r="H137" t="s">
        <v>74</v>
      </c>
      <c r="I137" t="s">
        <v>2205</v>
      </c>
      <c r="J137" t="s">
        <v>2206</v>
      </c>
      <c r="K137" t="s">
        <v>74</v>
      </c>
      <c r="L137" t="s">
        <v>74</v>
      </c>
      <c r="M137" t="s">
        <v>77</v>
      </c>
      <c r="N137" t="s">
        <v>78</v>
      </c>
      <c r="O137" t="s">
        <v>74</v>
      </c>
      <c r="P137" t="s">
        <v>74</v>
      </c>
      <c r="Q137" t="s">
        <v>74</v>
      </c>
      <c r="R137" t="s">
        <v>74</v>
      </c>
      <c r="S137" t="s">
        <v>74</v>
      </c>
      <c r="T137" t="s">
        <v>2207</v>
      </c>
      <c r="U137" t="s">
        <v>2208</v>
      </c>
      <c r="V137" t="s">
        <v>2209</v>
      </c>
      <c r="W137" t="s">
        <v>2210</v>
      </c>
      <c r="X137" t="s">
        <v>2211</v>
      </c>
      <c r="Y137" t="s">
        <v>2212</v>
      </c>
      <c r="Z137" t="s">
        <v>74</v>
      </c>
      <c r="AA137" t="s">
        <v>2213</v>
      </c>
      <c r="AB137" t="s">
        <v>2214</v>
      </c>
      <c r="AC137" t="s">
        <v>74</v>
      </c>
      <c r="AD137" t="s">
        <v>74</v>
      </c>
      <c r="AE137" t="s">
        <v>74</v>
      </c>
      <c r="AF137" t="s">
        <v>74</v>
      </c>
      <c r="AG137">
        <v>60</v>
      </c>
      <c r="AH137">
        <v>29</v>
      </c>
      <c r="AI137">
        <v>37</v>
      </c>
      <c r="AJ137">
        <v>0</v>
      </c>
      <c r="AK137">
        <v>7</v>
      </c>
      <c r="AL137" t="s">
        <v>110</v>
      </c>
      <c r="AM137" t="s">
        <v>111</v>
      </c>
      <c r="AN137" t="s">
        <v>112</v>
      </c>
      <c r="AO137" t="s">
        <v>2215</v>
      </c>
      <c r="AP137" t="s">
        <v>74</v>
      </c>
      <c r="AQ137" t="s">
        <v>74</v>
      </c>
      <c r="AR137" t="s">
        <v>2216</v>
      </c>
      <c r="AS137" t="s">
        <v>2217</v>
      </c>
      <c r="AT137" t="s">
        <v>1120</v>
      </c>
      <c r="AU137">
        <v>2003</v>
      </c>
      <c r="AV137">
        <v>49</v>
      </c>
      <c r="AW137" t="s">
        <v>787</v>
      </c>
      <c r="AX137" t="s">
        <v>74</v>
      </c>
      <c r="AY137" t="s">
        <v>74</v>
      </c>
      <c r="AZ137" t="s">
        <v>74</v>
      </c>
      <c r="BA137" t="s">
        <v>74</v>
      </c>
      <c r="BB137">
        <v>49</v>
      </c>
      <c r="BC137">
        <v>63</v>
      </c>
      <c r="BD137" t="s">
        <v>74</v>
      </c>
      <c r="BE137" t="s">
        <v>2218</v>
      </c>
      <c r="BF137" t="str">
        <f>HYPERLINK("http://dx.doi.org/10.1016/S0377-8398(03)00027-6","http://dx.doi.org/10.1016/S0377-8398(03)00027-6")</f>
        <v>http://dx.doi.org/10.1016/S0377-8398(03)00027-6</v>
      </c>
      <c r="BG137" t="s">
        <v>74</v>
      </c>
      <c r="BH137" t="s">
        <v>74</v>
      </c>
      <c r="BI137">
        <v>15</v>
      </c>
      <c r="BJ137" t="s">
        <v>2219</v>
      </c>
      <c r="BK137" t="s">
        <v>94</v>
      </c>
      <c r="BL137" t="s">
        <v>2219</v>
      </c>
      <c r="BM137" t="s">
        <v>2220</v>
      </c>
      <c r="BN137" t="s">
        <v>74</v>
      </c>
      <c r="BO137" t="s">
        <v>74</v>
      </c>
      <c r="BP137" t="s">
        <v>74</v>
      </c>
      <c r="BQ137" t="s">
        <v>74</v>
      </c>
      <c r="BR137" t="s">
        <v>97</v>
      </c>
      <c r="BS137" t="s">
        <v>2221</v>
      </c>
      <c r="BT137" t="str">
        <f>HYPERLINK("https%3A%2F%2Fwww.webofscience.com%2Fwos%2Fwoscc%2Ffull-record%2FWOS:000185272300003","View Full Record in Web of Science")</f>
        <v>View Full Record in Web of Science</v>
      </c>
    </row>
    <row r="138" spans="1:72" x14ac:dyDescent="0.15">
      <c r="A138" t="s">
        <v>72</v>
      </c>
      <c r="B138" t="s">
        <v>2222</v>
      </c>
      <c r="C138" t="s">
        <v>74</v>
      </c>
      <c r="D138" t="s">
        <v>74</v>
      </c>
      <c r="E138" t="s">
        <v>74</v>
      </c>
      <c r="F138" t="s">
        <v>2222</v>
      </c>
      <c r="G138" t="s">
        <v>74</v>
      </c>
      <c r="H138" t="s">
        <v>74</v>
      </c>
      <c r="I138" t="s">
        <v>2223</v>
      </c>
      <c r="J138" t="s">
        <v>2224</v>
      </c>
      <c r="K138" t="s">
        <v>74</v>
      </c>
      <c r="L138" t="s">
        <v>74</v>
      </c>
      <c r="M138" t="s">
        <v>77</v>
      </c>
      <c r="N138" t="s">
        <v>78</v>
      </c>
      <c r="O138" t="s">
        <v>74</v>
      </c>
      <c r="P138" t="s">
        <v>74</v>
      </c>
      <c r="Q138" t="s">
        <v>74</v>
      </c>
      <c r="R138" t="s">
        <v>74</v>
      </c>
      <c r="S138" t="s">
        <v>74</v>
      </c>
      <c r="T138" t="s">
        <v>2225</v>
      </c>
      <c r="U138" t="s">
        <v>2226</v>
      </c>
      <c r="V138" t="s">
        <v>2227</v>
      </c>
      <c r="W138" t="s">
        <v>2228</v>
      </c>
      <c r="X138" t="s">
        <v>2229</v>
      </c>
      <c r="Y138" t="s">
        <v>2230</v>
      </c>
      <c r="Z138" t="s">
        <v>2231</v>
      </c>
      <c r="AA138" t="s">
        <v>2232</v>
      </c>
      <c r="AB138" t="s">
        <v>74</v>
      </c>
      <c r="AC138" t="s">
        <v>74</v>
      </c>
      <c r="AD138" t="s">
        <v>74</v>
      </c>
      <c r="AE138" t="s">
        <v>74</v>
      </c>
      <c r="AF138" t="s">
        <v>74</v>
      </c>
      <c r="AG138">
        <v>24</v>
      </c>
      <c r="AH138">
        <v>14</v>
      </c>
      <c r="AI138">
        <v>18</v>
      </c>
      <c r="AJ138">
        <v>0</v>
      </c>
      <c r="AK138">
        <v>3</v>
      </c>
      <c r="AL138" t="s">
        <v>169</v>
      </c>
      <c r="AM138" t="s">
        <v>170</v>
      </c>
      <c r="AN138" t="s">
        <v>171</v>
      </c>
      <c r="AO138" t="s">
        <v>2233</v>
      </c>
      <c r="AP138" t="s">
        <v>2234</v>
      </c>
      <c r="AQ138" t="s">
        <v>74</v>
      </c>
      <c r="AR138" t="s">
        <v>2235</v>
      </c>
      <c r="AS138" t="s">
        <v>2236</v>
      </c>
      <c r="AT138" t="s">
        <v>1120</v>
      </c>
      <c r="AU138">
        <v>2003</v>
      </c>
      <c r="AV138">
        <v>46</v>
      </c>
      <c r="AW138">
        <v>9</v>
      </c>
      <c r="AX138" t="s">
        <v>74</v>
      </c>
      <c r="AY138" t="s">
        <v>74</v>
      </c>
      <c r="AZ138" t="s">
        <v>74</v>
      </c>
      <c r="BA138" t="s">
        <v>74</v>
      </c>
      <c r="BB138">
        <v>1179</v>
      </c>
      <c r="BC138">
        <v>1183</v>
      </c>
      <c r="BD138" t="s">
        <v>74</v>
      </c>
      <c r="BE138" t="s">
        <v>2237</v>
      </c>
      <c r="BF138" t="str">
        <f>HYPERLINK("http://dx.doi.org/10.1016/S0025-326X(03)00164-4","http://dx.doi.org/10.1016/S0025-326X(03)00164-4")</f>
        <v>http://dx.doi.org/10.1016/S0025-326X(03)00164-4</v>
      </c>
      <c r="BG138" t="s">
        <v>74</v>
      </c>
      <c r="BH138" t="s">
        <v>74</v>
      </c>
      <c r="BI138">
        <v>5</v>
      </c>
      <c r="BJ138" t="s">
        <v>2238</v>
      </c>
      <c r="BK138" t="s">
        <v>94</v>
      </c>
      <c r="BL138" t="s">
        <v>486</v>
      </c>
      <c r="BM138" t="s">
        <v>2239</v>
      </c>
      <c r="BN138">
        <v>12932500</v>
      </c>
      <c r="BO138" t="s">
        <v>74</v>
      </c>
      <c r="BP138" t="s">
        <v>74</v>
      </c>
      <c r="BQ138" t="s">
        <v>74</v>
      </c>
      <c r="BR138" t="s">
        <v>97</v>
      </c>
      <c r="BS138" t="s">
        <v>2240</v>
      </c>
      <c r="BT138" t="str">
        <f>HYPERLINK("https%3A%2F%2Fwww.webofscience.com%2Fwos%2Fwoscc%2Ffull-record%2FWOS:000185175900025","View Full Record in Web of Science")</f>
        <v>View Full Record in Web of Science</v>
      </c>
    </row>
    <row r="139" spans="1:72" x14ac:dyDescent="0.15">
      <c r="A139" t="s">
        <v>72</v>
      </c>
      <c r="B139" t="s">
        <v>2241</v>
      </c>
      <c r="C139" t="s">
        <v>74</v>
      </c>
      <c r="D139" t="s">
        <v>74</v>
      </c>
      <c r="E139" t="s">
        <v>74</v>
      </c>
      <c r="F139" t="s">
        <v>2241</v>
      </c>
      <c r="G139" t="s">
        <v>74</v>
      </c>
      <c r="H139" t="s">
        <v>74</v>
      </c>
      <c r="I139" t="s">
        <v>2242</v>
      </c>
      <c r="J139" t="s">
        <v>2243</v>
      </c>
      <c r="K139" t="s">
        <v>74</v>
      </c>
      <c r="L139" t="s">
        <v>74</v>
      </c>
      <c r="M139" t="s">
        <v>77</v>
      </c>
      <c r="N139" t="s">
        <v>78</v>
      </c>
      <c r="O139" t="s">
        <v>74</v>
      </c>
      <c r="P139" t="s">
        <v>74</v>
      </c>
      <c r="Q139" t="s">
        <v>74</v>
      </c>
      <c r="R139" t="s">
        <v>74</v>
      </c>
      <c r="S139" t="s">
        <v>74</v>
      </c>
      <c r="T139" t="s">
        <v>74</v>
      </c>
      <c r="U139" t="s">
        <v>2244</v>
      </c>
      <c r="V139" t="s">
        <v>2245</v>
      </c>
      <c r="W139" t="s">
        <v>2246</v>
      </c>
      <c r="X139" t="s">
        <v>2247</v>
      </c>
      <c r="Y139" t="s">
        <v>2248</v>
      </c>
      <c r="Z139" t="s">
        <v>74</v>
      </c>
      <c r="AA139" t="s">
        <v>74</v>
      </c>
      <c r="AB139" t="s">
        <v>2249</v>
      </c>
      <c r="AC139" t="s">
        <v>74</v>
      </c>
      <c r="AD139" t="s">
        <v>74</v>
      </c>
      <c r="AE139" t="s">
        <v>74</v>
      </c>
      <c r="AF139" t="s">
        <v>74</v>
      </c>
      <c r="AG139">
        <v>34</v>
      </c>
      <c r="AH139">
        <v>6</v>
      </c>
      <c r="AI139">
        <v>9</v>
      </c>
      <c r="AJ139">
        <v>0</v>
      </c>
      <c r="AK139">
        <v>3</v>
      </c>
      <c r="AL139" t="s">
        <v>2250</v>
      </c>
      <c r="AM139" t="s">
        <v>2251</v>
      </c>
      <c r="AN139" t="s">
        <v>2252</v>
      </c>
      <c r="AO139" t="s">
        <v>2253</v>
      </c>
      <c r="AP139" t="s">
        <v>74</v>
      </c>
      <c r="AQ139" t="s">
        <v>74</v>
      </c>
      <c r="AR139" t="s">
        <v>2254</v>
      </c>
      <c r="AS139" t="s">
        <v>2255</v>
      </c>
      <c r="AT139" t="s">
        <v>1120</v>
      </c>
      <c r="AU139">
        <v>2003</v>
      </c>
      <c r="AV139">
        <v>38</v>
      </c>
      <c r="AW139">
        <v>9</v>
      </c>
      <c r="AX139" t="s">
        <v>74</v>
      </c>
      <c r="AY139" t="s">
        <v>74</v>
      </c>
      <c r="AZ139" t="s">
        <v>74</v>
      </c>
      <c r="BA139" t="s">
        <v>74</v>
      </c>
      <c r="BB139">
        <v>1319</v>
      </c>
      <c r="BC139">
        <v>1330</v>
      </c>
      <c r="BD139" t="s">
        <v>74</v>
      </c>
      <c r="BE139" t="s">
        <v>2256</v>
      </c>
      <c r="BF139" t="str">
        <f>HYPERLINK("http://dx.doi.org/10.1111/j.1945-5100.2003.tb00316.x","http://dx.doi.org/10.1111/j.1945-5100.2003.tb00316.x")</f>
        <v>http://dx.doi.org/10.1111/j.1945-5100.2003.tb00316.x</v>
      </c>
      <c r="BG139" t="s">
        <v>74</v>
      </c>
      <c r="BH139" t="s">
        <v>74</v>
      </c>
      <c r="BI139">
        <v>12</v>
      </c>
      <c r="BJ139" t="s">
        <v>176</v>
      </c>
      <c r="BK139" t="s">
        <v>94</v>
      </c>
      <c r="BL139" t="s">
        <v>176</v>
      </c>
      <c r="BM139" t="s">
        <v>2257</v>
      </c>
      <c r="BN139" t="s">
        <v>74</v>
      </c>
      <c r="BO139" t="s">
        <v>96</v>
      </c>
      <c r="BP139" t="s">
        <v>74</v>
      </c>
      <c r="BQ139" t="s">
        <v>74</v>
      </c>
      <c r="BR139" t="s">
        <v>97</v>
      </c>
      <c r="BS139" t="s">
        <v>2258</v>
      </c>
      <c r="BT139" t="str">
        <f>HYPERLINK("https%3A%2F%2Fwww.webofscience.com%2Fwos%2Fwoscc%2Ffull-record%2FWOS:000187456700002","View Full Record in Web of Science")</f>
        <v>View Full Record in Web of Science</v>
      </c>
    </row>
    <row r="140" spans="1:72" x14ac:dyDescent="0.15">
      <c r="A140" t="s">
        <v>72</v>
      </c>
      <c r="B140" t="s">
        <v>2259</v>
      </c>
      <c r="C140" t="s">
        <v>74</v>
      </c>
      <c r="D140" t="s">
        <v>74</v>
      </c>
      <c r="E140" t="s">
        <v>74</v>
      </c>
      <c r="F140" t="s">
        <v>2259</v>
      </c>
      <c r="G140" t="s">
        <v>74</v>
      </c>
      <c r="H140" t="s">
        <v>74</v>
      </c>
      <c r="I140" t="s">
        <v>2260</v>
      </c>
      <c r="J140" t="s">
        <v>2261</v>
      </c>
      <c r="K140" t="s">
        <v>74</v>
      </c>
      <c r="L140" t="s">
        <v>74</v>
      </c>
      <c r="M140" t="s">
        <v>77</v>
      </c>
      <c r="N140" t="s">
        <v>78</v>
      </c>
      <c r="O140" t="s">
        <v>74</v>
      </c>
      <c r="P140" t="s">
        <v>74</v>
      </c>
      <c r="Q140" t="s">
        <v>74</v>
      </c>
      <c r="R140" t="s">
        <v>74</v>
      </c>
      <c r="S140" t="s">
        <v>74</v>
      </c>
      <c r="T140" t="s">
        <v>2262</v>
      </c>
      <c r="U140" t="s">
        <v>2263</v>
      </c>
      <c r="V140" t="s">
        <v>2264</v>
      </c>
      <c r="W140" t="s">
        <v>2265</v>
      </c>
      <c r="X140" t="s">
        <v>2266</v>
      </c>
      <c r="Y140" t="s">
        <v>2267</v>
      </c>
      <c r="Z140" t="s">
        <v>74</v>
      </c>
      <c r="AA140" t="s">
        <v>74</v>
      </c>
      <c r="AB140" t="s">
        <v>74</v>
      </c>
      <c r="AC140" t="s">
        <v>74</v>
      </c>
      <c r="AD140" t="s">
        <v>74</v>
      </c>
      <c r="AE140" t="s">
        <v>74</v>
      </c>
      <c r="AF140" t="s">
        <v>74</v>
      </c>
      <c r="AG140">
        <v>39</v>
      </c>
      <c r="AH140">
        <v>22</v>
      </c>
      <c r="AI140">
        <v>23</v>
      </c>
      <c r="AJ140">
        <v>1</v>
      </c>
      <c r="AK140">
        <v>14</v>
      </c>
      <c r="AL140" t="s">
        <v>2268</v>
      </c>
      <c r="AM140" t="s">
        <v>229</v>
      </c>
      <c r="AN140" t="s">
        <v>2269</v>
      </c>
      <c r="AO140" t="s">
        <v>2270</v>
      </c>
      <c r="AP140" t="s">
        <v>74</v>
      </c>
      <c r="AQ140" t="s">
        <v>74</v>
      </c>
      <c r="AR140" t="s">
        <v>2271</v>
      </c>
      <c r="AS140" t="s">
        <v>2272</v>
      </c>
      <c r="AT140" t="s">
        <v>2056</v>
      </c>
      <c r="AU140">
        <v>2003</v>
      </c>
      <c r="AV140">
        <v>62</v>
      </c>
      <c r="AW140">
        <v>1</v>
      </c>
      <c r="AX140" t="s">
        <v>74</v>
      </c>
      <c r="AY140" t="s">
        <v>74</v>
      </c>
      <c r="AZ140" t="s">
        <v>74</v>
      </c>
      <c r="BA140" t="s">
        <v>74</v>
      </c>
      <c r="BB140">
        <v>49</v>
      </c>
      <c r="BC140">
        <v>61</v>
      </c>
      <c r="BD140" t="s">
        <v>74</v>
      </c>
      <c r="BE140" t="s">
        <v>2273</v>
      </c>
      <c r="BF140" t="str">
        <f>HYPERLINK("http://dx.doi.org/10.1002/jemt.10381","http://dx.doi.org/10.1002/jemt.10381")</f>
        <v>http://dx.doi.org/10.1002/jemt.10381</v>
      </c>
      <c r="BG140" t="s">
        <v>74</v>
      </c>
      <c r="BH140" t="s">
        <v>74</v>
      </c>
      <c r="BI140">
        <v>13</v>
      </c>
      <c r="BJ140" t="s">
        <v>2274</v>
      </c>
      <c r="BK140" t="s">
        <v>94</v>
      </c>
      <c r="BL140" t="s">
        <v>2275</v>
      </c>
      <c r="BM140" t="s">
        <v>2276</v>
      </c>
      <c r="BN140">
        <v>12938117</v>
      </c>
      <c r="BO140" t="s">
        <v>74</v>
      </c>
      <c r="BP140" t="s">
        <v>74</v>
      </c>
      <c r="BQ140" t="s">
        <v>74</v>
      </c>
      <c r="BR140" t="s">
        <v>97</v>
      </c>
      <c r="BS140" t="s">
        <v>2277</v>
      </c>
      <c r="BT140" t="str">
        <f>HYPERLINK("https%3A%2F%2Fwww.webofscience.com%2Fwos%2Fwoscc%2Ffull-record%2FWOS:000184886300005","View Full Record in Web of Science")</f>
        <v>View Full Record in Web of Science</v>
      </c>
    </row>
    <row r="141" spans="1:72" x14ac:dyDescent="0.15">
      <c r="A141" t="s">
        <v>72</v>
      </c>
      <c r="B141" t="s">
        <v>2278</v>
      </c>
      <c r="C141" t="s">
        <v>74</v>
      </c>
      <c r="D141" t="s">
        <v>74</v>
      </c>
      <c r="E141" t="s">
        <v>74</v>
      </c>
      <c r="F141" t="s">
        <v>2278</v>
      </c>
      <c r="G141" t="s">
        <v>74</v>
      </c>
      <c r="H141" t="s">
        <v>74</v>
      </c>
      <c r="I141" t="s">
        <v>2279</v>
      </c>
      <c r="J141" t="s">
        <v>2261</v>
      </c>
      <c r="K141" t="s">
        <v>74</v>
      </c>
      <c r="L141" t="s">
        <v>74</v>
      </c>
      <c r="M141" t="s">
        <v>77</v>
      </c>
      <c r="N141" t="s">
        <v>78</v>
      </c>
      <c r="O141" t="s">
        <v>74</v>
      </c>
      <c r="P141" t="s">
        <v>74</v>
      </c>
      <c r="Q141" t="s">
        <v>74</v>
      </c>
      <c r="R141" t="s">
        <v>74</v>
      </c>
      <c r="S141" t="s">
        <v>74</v>
      </c>
      <c r="T141" t="s">
        <v>2280</v>
      </c>
      <c r="U141" t="s">
        <v>2281</v>
      </c>
      <c r="V141" t="s">
        <v>2282</v>
      </c>
      <c r="W141" t="s">
        <v>2283</v>
      </c>
      <c r="X141" t="s">
        <v>2284</v>
      </c>
      <c r="Y141" t="s">
        <v>2285</v>
      </c>
      <c r="Z141" t="s">
        <v>74</v>
      </c>
      <c r="AA141" t="s">
        <v>2286</v>
      </c>
      <c r="AB141" t="s">
        <v>2287</v>
      </c>
      <c r="AC141" t="s">
        <v>74</v>
      </c>
      <c r="AD141" t="s">
        <v>74</v>
      </c>
      <c r="AE141" t="s">
        <v>74</v>
      </c>
      <c r="AF141" t="s">
        <v>74</v>
      </c>
      <c r="AG141">
        <v>14</v>
      </c>
      <c r="AH141">
        <v>48</v>
      </c>
      <c r="AI141">
        <v>49</v>
      </c>
      <c r="AJ141">
        <v>0</v>
      </c>
      <c r="AK141">
        <v>20</v>
      </c>
      <c r="AL141" t="s">
        <v>2268</v>
      </c>
      <c r="AM141" t="s">
        <v>229</v>
      </c>
      <c r="AN141" t="s">
        <v>2269</v>
      </c>
      <c r="AO141" t="s">
        <v>2270</v>
      </c>
      <c r="AP141" t="s">
        <v>74</v>
      </c>
      <c r="AQ141" t="s">
        <v>74</v>
      </c>
      <c r="AR141" t="s">
        <v>2271</v>
      </c>
      <c r="AS141" t="s">
        <v>2272</v>
      </c>
      <c r="AT141" t="s">
        <v>2056</v>
      </c>
      <c r="AU141">
        <v>2003</v>
      </c>
      <c r="AV141">
        <v>62</v>
      </c>
      <c r="AW141">
        <v>1</v>
      </c>
      <c r="AX141" t="s">
        <v>74</v>
      </c>
      <c r="AY141" t="s">
        <v>74</v>
      </c>
      <c r="AZ141" t="s">
        <v>74</v>
      </c>
      <c r="BA141" t="s">
        <v>74</v>
      </c>
      <c r="BB141">
        <v>62</v>
      </c>
      <c r="BC141">
        <v>69</v>
      </c>
      <c r="BD141" t="s">
        <v>74</v>
      </c>
      <c r="BE141" t="s">
        <v>2288</v>
      </c>
      <c r="BF141" t="str">
        <f>HYPERLINK("http://dx.doi.org/10.1002/jemt.10385","http://dx.doi.org/10.1002/jemt.10385")</f>
        <v>http://dx.doi.org/10.1002/jemt.10385</v>
      </c>
      <c r="BG141" t="s">
        <v>74</v>
      </c>
      <c r="BH141" t="s">
        <v>74</v>
      </c>
      <c r="BI141">
        <v>8</v>
      </c>
      <c r="BJ141" t="s">
        <v>2274</v>
      </c>
      <c r="BK141" t="s">
        <v>94</v>
      </c>
      <c r="BL141" t="s">
        <v>2275</v>
      </c>
      <c r="BM141" t="s">
        <v>2276</v>
      </c>
      <c r="BN141">
        <v>12938118</v>
      </c>
      <c r="BO141" t="s">
        <v>96</v>
      </c>
      <c r="BP141" t="s">
        <v>74</v>
      </c>
      <c r="BQ141" t="s">
        <v>74</v>
      </c>
      <c r="BR141" t="s">
        <v>97</v>
      </c>
      <c r="BS141" t="s">
        <v>2289</v>
      </c>
      <c r="BT141" t="str">
        <f>HYPERLINK("https%3A%2F%2Fwww.webofscience.com%2Fwos%2Fwoscc%2Ffull-record%2FWOS:000184886300006","View Full Record in Web of Science")</f>
        <v>View Full Record in Web of Science</v>
      </c>
    </row>
    <row r="142" spans="1:72" x14ac:dyDescent="0.15">
      <c r="A142" t="s">
        <v>72</v>
      </c>
      <c r="B142" t="s">
        <v>2290</v>
      </c>
      <c r="C142" t="s">
        <v>74</v>
      </c>
      <c r="D142" t="s">
        <v>74</v>
      </c>
      <c r="E142" t="s">
        <v>74</v>
      </c>
      <c r="F142" t="s">
        <v>2290</v>
      </c>
      <c r="G142" t="s">
        <v>74</v>
      </c>
      <c r="H142" t="s">
        <v>74</v>
      </c>
      <c r="I142" t="s">
        <v>2291</v>
      </c>
      <c r="J142" t="s">
        <v>2292</v>
      </c>
      <c r="K142" t="s">
        <v>74</v>
      </c>
      <c r="L142" t="s">
        <v>74</v>
      </c>
      <c r="M142" t="s">
        <v>77</v>
      </c>
      <c r="N142" t="s">
        <v>78</v>
      </c>
      <c r="O142" t="s">
        <v>74</v>
      </c>
      <c r="P142" t="s">
        <v>74</v>
      </c>
      <c r="Q142" t="s">
        <v>74</v>
      </c>
      <c r="R142" t="s">
        <v>74</v>
      </c>
      <c r="S142" t="s">
        <v>74</v>
      </c>
      <c r="T142" t="s">
        <v>2293</v>
      </c>
      <c r="U142" t="s">
        <v>2294</v>
      </c>
      <c r="V142" t="s">
        <v>2295</v>
      </c>
      <c r="W142" t="s">
        <v>2296</v>
      </c>
      <c r="X142" t="s">
        <v>2297</v>
      </c>
      <c r="Y142" t="s">
        <v>2298</v>
      </c>
      <c r="Z142" t="s">
        <v>2299</v>
      </c>
      <c r="AA142" t="s">
        <v>2300</v>
      </c>
      <c r="AB142" t="s">
        <v>2301</v>
      </c>
      <c r="AC142" t="s">
        <v>74</v>
      </c>
      <c r="AD142" t="s">
        <v>74</v>
      </c>
      <c r="AE142" t="s">
        <v>74</v>
      </c>
      <c r="AF142" t="s">
        <v>74</v>
      </c>
      <c r="AG142">
        <v>63</v>
      </c>
      <c r="AH142">
        <v>114</v>
      </c>
      <c r="AI142">
        <v>123</v>
      </c>
      <c r="AJ142">
        <v>0</v>
      </c>
      <c r="AK142">
        <v>23</v>
      </c>
      <c r="AL142" t="s">
        <v>250</v>
      </c>
      <c r="AM142" t="s">
        <v>251</v>
      </c>
      <c r="AN142" t="s">
        <v>252</v>
      </c>
      <c r="AO142" t="s">
        <v>2302</v>
      </c>
      <c r="AP142" t="s">
        <v>2303</v>
      </c>
      <c r="AQ142" t="s">
        <v>74</v>
      </c>
      <c r="AR142" t="s">
        <v>2304</v>
      </c>
      <c r="AS142" t="s">
        <v>2305</v>
      </c>
      <c r="AT142" t="s">
        <v>1120</v>
      </c>
      <c r="AU142">
        <v>2003</v>
      </c>
      <c r="AV142">
        <v>12</v>
      </c>
      <c r="AW142">
        <v>9</v>
      </c>
      <c r="AX142" t="s">
        <v>74</v>
      </c>
      <c r="AY142" t="s">
        <v>74</v>
      </c>
      <c r="AZ142" t="s">
        <v>74</v>
      </c>
      <c r="BA142" t="s">
        <v>74</v>
      </c>
      <c r="BB142">
        <v>2357</v>
      </c>
      <c r="BC142">
        <v>2369</v>
      </c>
      <c r="BD142" t="s">
        <v>74</v>
      </c>
      <c r="BE142" t="s">
        <v>2306</v>
      </c>
      <c r="BF142" t="str">
        <f>HYPERLINK("http://dx.doi.org/10.1046/j.1365-294X.2003.01907.x","http://dx.doi.org/10.1046/j.1365-294X.2003.01907.x")</f>
        <v>http://dx.doi.org/10.1046/j.1365-294X.2003.01907.x</v>
      </c>
      <c r="BG142" t="s">
        <v>74</v>
      </c>
      <c r="BH142" t="s">
        <v>74</v>
      </c>
      <c r="BI142">
        <v>13</v>
      </c>
      <c r="BJ142" t="s">
        <v>2307</v>
      </c>
      <c r="BK142" t="s">
        <v>94</v>
      </c>
      <c r="BL142" t="s">
        <v>2308</v>
      </c>
      <c r="BM142" t="s">
        <v>2309</v>
      </c>
      <c r="BN142">
        <v>12919474</v>
      </c>
      <c r="BO142" t="s">
        <v>74</v>
      </c>
      <c r="BP142" t="s">
        <v>74</v>
      </c>
      <c r="BQ142" t="s">
        <v>74</v>
      </c>
      <c r="BR142" t="s">
        <v>97</v>
      </c>
      <c r="BS142" t="s">
        <v>2310</v>
      </c>
      <c r="BT142" t="str">
        <f>HYPERLINK("https%3A%2F%2Fwww.webofscience.com%2Fwos%2Fwoscc%2Ffull-record%2FWOS:000185256500007","View Full Record in Web of Science")</f>
        <v>View Full Record in Web of Science</v>
      </c>
    </row>
    <row r="143" spans="1:72" x14ac:dyDescent="0.15">
      <c r="A143" t="s">
        <v>72</v>
      </c>
      <c r="B143" t="s">
        <v>2311</v>
      </c>
      <c r="C143" t="s">
        <v>74</v>
      </c>
      <c r="D143" t="s">
        <v>74</v>
      </c>
      <c r="E143" t="s">
        <v>74</v>
      </c>
      <c r="F143" t="s">
        <v>2311</v>
      </c>
      <c r="G143" t="s">
        <v>74</v>
      </c>
      <c r="H143" t="s">
        <v>74</v>
      </c>
      <c r="I143" t="s">
        <v>2312</v>
      </c>
      <c r="J143" t="s">
        <v>2313</v>
      </c>
      <c r="K143" t="s">
        <v>74</v>
      </c>
      <c r="L143" t="s">
        <v>74</v>
      </c>
      <c r="M143" t="s">
        <v>77</v>
      </c>
      <c r="N143" t="s">
        <v>78</v>
      </c>
      <c r="O143" t="s">
        <v>74</v>
      </c>
      <c r="P143" t="s">
        <v>74</v>
      </c>
      <c r="Q143" t="s">
        <v>74</v>
      </c>
      <c r="R143" t="s">
        <v>74</v>
      </c>
      <c r="S143" t="s">
        <v>74</v>
      </c>
      <c r="T143" t="s">
        <v>2314</v>
      </c>
      <c r="U143" t="s">
        <v>2315</v>
      </c>
      <c r="V143" t="s">
        <v>2316</v>
      </c>
      <c r="W143" t="s">
        <v>2317</v>
      </c>
      <c r="X143" t="s">
        <v>2318</v>
      </c>
      <c r="Y143" t="s">
        <v>2319</v>
      </c>
      <c r="Z143" t="s">
        <v>74</v>
      </c>
      <c r="AA143" t="s">
        <v>2320</v>
      </c>
      <c r="AB143" t="s">
        <v>2321</v>
      </c>
      <c r="AC143" t="s">
        <v>74</v>
      </c>
      <c r="AD143" t="s">
        <v>74</v>
      </c>
      <c r="AE143" t="s">
        <v>74</v>
      </c>
      <c r="AF143" t="s">
        <v>74</v>
      </c>
      <c r="AG143">
        <v>13</v>
      </c>
      <c r="AH143">
        <v>21</v>
      </c>
      <c r="AI143">
        <v>22</v>
      </c>
      <c r="AJ143">
        <v>0</v>
      </c>
      <c r="AK143">
        <v>5</v>
      </c>
      <c r="AL143" t="s">
        <v>289</v>
      </c>
      <c r="AM143" t="s">
        <v>170</v>
      </c>
      <c r="AN143" t="s">
        <v>290</v>
      </c>
      <c r="AO143" t="s">
        <v>2322</v>
      </c>
      <c r="AP143" t="s">
        <v>74</v>
      </c>
      <c r="AQ143" t="s">
        <v>74</v>
      </c>
      <c r="AR143" t="s">
        <v>2323</v>
      </c>
      <c r="AS143" t="s">
        <v>2324</v>
      </c>
      <c r="AT143" t="s">
        <v>1120</v>
      </c>
      <c r="AU143">
        <v>2003</v>
      </c>
      <c r="AV143">
        <v>3</v>
      </c>
      <c r="AW143">
        <v>3</v>
      </c>
      <c r="AX143" t="s">
        <v>74</v>
      </c>
      <c r="AY143" t="s">
        <v>74</v>
      </c>
      <c r="AZ143" t="s">
        <v>74</v>
      </c>
      <c r="BA143" t="s">
        <v>74</v>
      </c>
      <c r="BB143">
        <v>346</v>
      </c>
      <c r="BC143">
        <v>349</v>
      </c>
      <c r="BD143" t="s">
        <v>74</v>
      </c>
      <c r="BE143" t="s">
        <v>2325</v>
      </c>
      <c r="BF143" t="str">
        <f>HYPERLINK("http://dx.doi.org/10.1046/j.1471-8286.2003.00445.x","http://dx.doi.org/10.1046/j.1471-8286.2003.00445.x")</f>
        <v>http://dx.doi.org/10.1046/j.1471-8286.2003.00445.x</v>
      </c>
      <c r="BG143" t="s">
        <v>74</v>
      </c>
      <c r="BH143" t="s">
        <v>74</v>
      </c>
      <c r="BI143">
        <v>4</v>
      </c>
      <c r="BJ143" t="s">
        <v>2307</v>
      </c>
      <c r="BK143" t="s">
        <v>94</v>
      </c>
      <c r="BL143" t="s">
        <v>2308</v>
      </c>
      <c r="BM143" t="s">
        <v>2326</v>
      </c>
      <c r="BN143" t="s">
        <v>74</v>
      </c>
      <c r="BO143" t="s">
        <v>74</v>
      </c>
      <c r="BP143" t="s">
        <v>74</v>
      </c>
      <c r="BQ143" t="s">
        <v>74</v>
      </c>
      <c r="BR143" t="s">
        <v>97</v>
      </c>
      <c r="BS143" t="s">
        <v>2327</v>
      </c>
      <c r="BT143" t="str">
        <f>HYPERLINK("https%3A%2F%2Fwww.webofscience.com%2Fwos%2Fwoscc%2Ffull-record%2FWOS:000185225300006","View Full Record in Web of Science")</f>
        <v>View Full Record in Web of Science</v>
      </c>
    </row>
    <row r="144" spans="1:72" x14ac:dyDescent="0.15">
      <c r="A144" t="s">
        <v>72</v>
      </c>
      <c r="B144" t="s">
        <v>2328</v>
      </c>
      <c r="C144" t="s">
        <v>74</v>
      </c>
      <c r="D144" t="s">
        <v>74</v>
      </c>
      <c r="E144" t="s">
        <v>74</v>
      </c>
      <c r="F144" t="s">
        <v>2328</v>
      </c>
      <c r="G144" t="s">
        <v>74</v>
      </c>
      <c r="H144" t="s">
        <v>74</v>
      </c>
      <c r="I144" t="s">
        <v>2329</v>
      </c>
      <c r="J144" t="s">
        <v>2330</v>
      </c>
      <c r="K144" t="s">
        <v>74</v>
      </c>
      <c r="L144" t="s">
        <v>74</v>
      </c>
      <c r="M144" t="s">
        <v>77</v>
      </c>
      <c r="N144" t="s">
        <v>159</v>
      </c>
      <c r="O144" t="s">
        <v>2331</v>
      </c>
      <c r="P144" t="s">
        <v>2332</v>
      </c>
      <c r="Q144" t="s">
        <v>2333</v>
      </c>
      <c r="R144" t="s">
        <v>74</v>
      </c>
      <c r="S144" t="s">
        <v>74</v>
      </c>
      <c r="T144" t="s">
        <v>74</v>
      </c>
      <c r="U144" t="s">
        <v>2334</v>
      </c>
      <c r="V144" t="s">
        <v>2335</v>
      </c>
      <c r="W144" t="s">
        <v>2336</v>
      </c>
      <c r="X144" t="s">
        <v>2337</v>
      </c>
      <c r="Y144" t="s">
        <v>2338</v>
      </c>
      <c r="Z144" t="s">
        <v>74</v>
      </c>
      <c r="AA144" t="s">
        <v>2339</v>
      </c>
      <c r="AB144" t="s">
        <v>2340</v>
      </c>
      <c r="AC144" t="s">
        <v>74</v>
      </c>
      <c r="AD144" t="s">
        <v>74</v>
      </c>
      <c r="AE144" t="s">
        <v>74</v>
      </c>
      <c r="AF144" t="s">
        <v>74</v>
      </c>
      <c r="AG144">
        <v>32</v>
      </c>
      <c r="AH144">
        <v>28</v>
      </c>
      <c r="AI144">
        <v>30</v>
      </c>
      <c r="AJ144">
        <v>2</v>
      </c>
      <c r="AK144">
        <v>16</v>
      </c>
      <c r="AL144" t="s">
        <v>2341</v>
      </c>
      <c r="AM144" t="s">
        <v>2342</v>
      </c>
      <c r="AN144" t="s">
        <v>2343</v>
      </c>
      <c r="AO144" t="s">
        <v>2344</v>
      </c>
      <c r="AP144" t="s">
        <v>74</v>
      </c>
      <c r="AQ144" t="s">
        <v>74</v>
      </c>
      <c r="AR144" t="s">
        <v>2345</v>
      </c>
      <c r="AS144" t="s">
        <v>2346</v>
      </c>
      <c r="AT144" t="s">
        <v>1120</v>
      </c>
      <c r="AU144">
        <v>2003</v>
      </c>
      <c r="AV144">
        <v>28</v>
      </c>
      <c r="AW144">
        <v>3</v>
      </c>
      <c r="AX144" t="s">
        <v>74</v>
      </c>
      <c r="AY144" t="s">
        <v>74</v>
      </c>
      <c r="AZ144" t="s">
        <v>74</v>
      </c>
      <c r="BA144" t="s">
        <v>74</v>
      </c>
      <c r="BB144">
        <v>420</v>
      </c>
      <c r="BC144">
        <v>429</v>
      </c>
      <c r="BD144" t="s">
        <v>74</v>
      </c>
      <c r="BE144" t="s">
        <v>2347</v>
      </c>
      <c r="BF144" t="str">
        <f>HYPERLINK("http://dx.doi.org/10.1016/S1055-7903(03)00124-6","http://dx.doi.org/10.1016/S1055-7903(03)00124-6")</f>
        <v>http://dx.doi.org/10.1016/S1055-7903(03)00124-6</v>
      </c>
      <c r="BG144" t="s">
        <v>74</v>
      </c>
      <c r="BH144" t="s">
        <v>74</v>
      </c>
      <c r="BI144">
        <v>10</v>
      </c>
      <c r="BJ144" t="s">
        <v>2348</v>
      </c>
      <c r="BK144" t="s">
        <v>854</v>
      </c>
      <c r="BL144" t="s">
        <v>2348</v>
      </c>
      <c r="BM144" t="s">
        <v>2349</v>
      </c>
      <c r="BN144">
        <v>12927128</v>
      </c>
      <c r="BO144" t="s">
        <v>74</v>
      </c>
      <c r="BP144" t="s">
        <v>74</v>
      </c>
      <c r="BQ144" t="s">
        <v>74</v>
      </c>
      <c r="BR144" t="s">
        <v>97</v>
      </c>
      <c r="BS144" t="s">
        <v>2350</v>
      </c>
      <c r="BT144" t="str">
        <f>HYPERLINK("https%3A%2F%2Fwww.webofscience.com%2Fwos%2Fwoscc%2Ffull-record%2FWOS:000184974800004","View Full Record in Web of Science")</f>
        <v>View Full Record in Web of Science</v>
      </c>
    </row>
    <row r="145" spans="1:72" x14ac:dyDescent="0.15">
      <c r="A145" t="s">
        <v>72</v>
      </c>
      <c r="B145" t="s">
        <v>2351</v>
      </c>
      <c r="C145" t="s">
        <v>74</v>
      </c>
      <c r="D145" t="s">
        <v>74</v>
      </c>
      <c r="E145" t="s">
        <v>74</v>
      </c>
      <c r="F145" t="s">
        <v>2351</v>
      </c>
      <c r="G145" t="s">
        <v>74</v>
      </c>
      <c r="H145" t="s">
        <v>74</v>
      </c>
      <c r="I145" t="s">
        <v>2352</v>
      </c>
      <c r="J145" t="s">
        <v>2353</v>
      </c>
      <c r="K145" t="s">
        <v>74</v>
      </c>
      <c r="L145" t="s">
        <v>74</v>
      </c>
      <c r="M145" t="s">
        <v>77</v>
      </c>
      <c r="N145" t="s">
        <v>78</v>
      </c>
      <c r="O145" t="s">
        <v>74</v>
      </c>
      <c r="P145" t="s">
        <v>74</v>
      </c>
      <c r="Q145" t="s">
        <v>74</v>
      </c>
      <c r="R145" t="s">
        <v>74</v>
      </c>
      <c r="S145" t="s">
        <v>74</v>
      </c>
      <c r="T145" t="s">
        <v>2354</v>
      </c>
      <c r="U145" t="s">
        <v>2355</v>
      </c>
      <c r="V145" t="s">
        <v>2356</v>
      </c>
      <c r="W145" t="s">
        <v>2357</v>
      </c>
      <c r="X145" t="s">
        <v>2358</v>
      </c>
      <c r="Y145" t="s">
        <v>2359</v>
      </c>
      <c r="Z145" t="s">
        <v>2360</v>
      </c>
      <c r="AA145" t="s">
        <v>74</v>
      </c>
      <c r="AB145" t="s">
        <v>74</v>
      </c>
      <c r="AC145" t="s">
        <v>74</v>
      </c>
      <c r="AD145" t="s">
        <v>74</v>
      </c>
      <c r="AE145" t="s">
        <v>74</v>
      </c>
      <c r="AF145" t="s">
        <v>74</v>
      </c>
      <c r="AG145">
        <v>38</v>
      </c>
      <c r="AH145">
        <v>25</v>
      </c>
      <c r="AI145">
        <v>25</v>
      </c>
      <c r="AJ145">
        <v>0</v>
      </c>
      <c r="AK145">
        <v>6</v>
      </c>
      <c r="AL145" t="s">
        <v>1651</v>
      </c>
      <c r="AM145" t="s">
        <v>1652</v>
      </c>
      <c r="AN145" t="s">
        <v>2361</v>
      </c>
      <c r="AO145" t="s">
        <v>2362</v>
      </c>
      <c r="AP145" t="s">
        <v>2363</v>
      </c>
      <c r="AQ145" t="s">
        <v>74</v>
      </c>
      <c r="AR145" t="s">
        <v>2364</v>
      </c>
      <c r="AS145" t="s">
        <v>2365</v>
      </c>
      <c r="AT145" t="s">
        <v>1120</v>
      </c>
      <c r="AU145">
        <v>2003</v>
      </c>
      <c r="AV145">
        <v>46</v>
      </c>
      <c r="AW145">
        <v>3</v>
      </c>
      <c r="AX145" t="s">
        <v>74</v>
      </c>
      <c r="AY145" t="s">
        <v>74</v>
      </c>
      <c r="AZ145" t="s">
        <v>74</v>
      </c>
      <c r="BA145" t="s">
        <v>74</v>
      </c>
      <c r="BB145">
        <v>437</v>
      </c>
      <c r="BC145">
        <v>448</v>
      </c>
      <c r="BD145" t="s">
        <v>74</v>
      </c>
      <c r="BE145" t="s">
        <v>2366</v>
      </c>
      <c r="BF145" t="str">
        <f>HYPERLINK("http://dx.doi.org/10.1080/00288306.2003.9515019","http://dx.doi.org/10.1080/00288306.2003.9515019")</f>
        <v>http://dx.doi.org/10.1080/00288306.2003.9515019</v>
      </c>
      <c r="BG145" t="s">
        <v>74</v>
      </c>
      <c r="BH145" t="s">
        <v>74</v>
      </c>
      <c r="BI145">
        <v>12</v>
      </c>
      <c r="BJ145" t="s">
        <v>2367</v>
      </c>
      <c r="BK145" t="s">
        <v>94</v>
      </c>
      <c r="BL145" t="s">
        <v>549</v>
      </c>
      <c r="BM145" t="s">
        <v>2368</v>
      </c>
      <c r="BN145" t="s">
        <v>74</v>
      </c>
      <c r="BO145" t="s">
        <v>96</v>
      </c>
      <c r="BP145" t="s">
        <v>74</v>
      </c>
      <c r="BQ145" t="s">
        <v>74</v>
      </c>
      <c r="BR145" t="s">
        <v>97</v>
      </c>
      <c r="BS145" t="s">
        <v>2369</v>
      </c>
      <c r="BT145" t="str">
        <f>HYPERLINK("https%3A%2F%2Fwww.webofscience.com%2Fwos%2Fwoscc%2Ffull-record%2FWOS:000186299500008","View Full Record in Web of Science")</f>
        <v>View Full Record in Web of Science</v>
      </c>
    </row>
    <row r="146" spans="1:72" x14ac:dyDescent="0.15">
      <c r="A146" t="s">
        <v>72</v>
      </c>
      <c r="B146" t="s">
        <v>2370</v>
      </c>
      <c r="C146" t="s">
        <v>74</v>
      </c>
      <c r="D146" t="s">
        <v>74</v>
      </c>
      <c r="E146" t="s">
        <v>74</v>
      </c>
      <c r="F146" t="s">
        <v>2370</v>
      </c>
      <c r="G146" t="s">
        <v>74</v>
      </c>
      <c r="H146" t="s">
        <v>74</v>
      </c>
      <c r="I146" t="s">
        <v>2371</v>
      </c>
      <c r="J146" t="s">
        <v>2372</v>
      </c>
      <c r="K146" t="s">
        <v>74</v>
      </c>
      <c r="L146" t="s">
        <v>74</v>
      </c>
      <c r="M146" t="s">
        <v>77</v>
      </c>
      <c r="N146" t="s">
        <v>78</v>
      </c>
      <c r="O146" t="s">
        <v>74</v>
      </c>
      <c r="P146" t="s">
        <v>74</v>
      </c>
      <c r="Q146" t="s">
        <v>74</v>
      </c>
      <c r="R146" t="s">
        <v>74</v>
      </c>
      <c r="S146" t="s">
        <v>74</v>
      </c>
      <c r="T146" t="s">
        <v>74</v>
      </c>
      <c r="U146" t="s">
        <v>2373</v>
      </c>
      <c r="V146" t="s">
        <v>2374</v>
      </c>
      <c r="W146" t="s">
        <v>2375</v>
      </c>
      <c r="X146" t="s">
        <v>2376</v>
      </c>
      <c r="Y146" t="s">
        <v>2377</v>
      </c>
      <c r="Z146" t="s">
        <v>74</v>
      </c>
      <c r="AA146" t="s">
        <v>2378</v>
      </c>
      <c r="AB146" t="s">
        <v>2379</v>
      </c>
      <c r="AC146" t="s">
        <v>74</v>
      </c>
      <c r="AD146" t="s">
        <v>74</v>
      </c>
      <c r="AE146" t="s">
        <v>74</v>
      </c>
      <c r="AF146" t="s">
        <v>74</v>
      </c>
      <c r="AG146">
        <v>14</v>
      </c>
      <c r="AH146">
        <v>7</v>
      </c>
      <c r="AI146">
        <v>8</v>
      </c>
      <c r="AJ146">
        <v>1</v>
      </c>
      <c r="AK146">
        <v>5</v>
      </c>
      <c r="AL146" t="s">
        <v>1817</v>
      </c>
      <c r="AM146" t="s">
        <v>229</v>
      </c>
      <c r="AN146" t="s">
        <v>1818</v>
      </c>
      <c r="AO146" t="s">
        <v>2380</v>
      </c>
      <c r="AP146" t="s">
        <v>2381</v>
      </c>
      <c r="AQ146" t="s">
        <v>74</v>
      </c>
      <c r="AR146" t="s">
        <v>2382</v>
      </c>
      <c r="AS146" t="s">
        <v>2383</v>
      </c>
      <c r="AT146" t="s">
        <v>1795</v>
      </c>
      <c r="AU146">
        <v>2003</v>
      </c>
      <c r="AV146">
        <v>43</v>
      </c>
      <c r="AW146">
        <v>5</v>
      </c>
      <c r="AX146" t="s">
        <v>74</v>
      </c>
      <c r="AY146" t="s">
        <v>74</v>
      </c>
      <c r="AZ146" t="s">
        <v>74</v>
      </c>
      <c r="BA146" t="s">
        <v>74</v>
      </c>
      <c r="BB146">
        <v>607</v>
      </c>
      <c r="BC146">
        <v>621</v>
      </c>
      <c r="BD146" t="s">
        <v>74</v>
      </c>
      <c r="BE146" t="s">
        <v>74</v>
      </c>
      <c r="BF146" t="s">
        <v>74</v>
      </c>
      <c r="BG146" t="s">
        <v>74</v>
      </c>
      <c r="BH146" t="s">
        <v>74</v>
      </c>
      <c r="BI146">
        <v>15</v>
      </c>
      <c r="BJ146" t="s">
        <v>678</v>
      </c>
      <c r="BK146" t="s">
        <v>94</v>
      </c>
      <c r="BL146" t="s">
        <v>678</v>
      </c>
      <c r="BM146" t="s">
        <v>2384</v>
      </c>
      <c r="BN146" t="s">
        <v>74</v>
      </c>
      <c r="BO146" t="s">
        <v>74</v>
      </c>
      <c r="BP146" t="s">
        <v>74</v>
      </c>
      <c r="BQ146" t="s">
        <v>74</v>
      </c>
      <c r="BR146" t="s">
        <v>97</v>
      </c>
      <c r="BS146" t="s">
        <v>2385</v>
      </c>
      <c r="BT146" t="str">
        <f>HYPERLINK("https%3A%2F%2Fwww.webofscience.com%2Fwos%2Fwoscc%2Ffull-record%2FWOS:000186258800001","View Full Record in Web of Science")</f>
        <v>View Full Record in Web of Science</v>
      </c>
    </row>
    <row r="147" spans="1:72" x14ac:dyDescent="0.15">
      <c r="A147" t="s">
        <v>72</v>
      </c>
      <c r="B147" t="s">
        <v>2386</v>
      </c>
      <c r="C147" t="s">
        <v>74</v>
      </c>
      <c r="D147" t="s">
        <v>74</v>
      </c>
      <c r="E147" t="s">
        <v>74</v>
      </c>
      <c r="F147" t="s">
        <v>2386</v>
      </c>
      <c r="G147" t="s">
        <v>74</v>
      </c>
      <c r="H147" t="s">
        <v>74</v>
      </c>
      <c r="I147" t="s">
        <v>2387</v>
      </c>
      <c r="J147" t="s">
        <v>2372</v>
      </c>
      <c r="K147" t="s">
        <v>74</v>
      </c>
      <c r="L147" t="s">
        <v>74</v>
      </c>
      <c r="M147" t="s">
        <v>77</v>
      </c>
      <c r="N147" t="s">
        <v>78</v>
      </c>
      <c r="O147" t="s">
        <v>74</v>
      </c>
      <c r="P147" t="s">
        <v>74</v>
      </c>
      <c r="Q147" t="s">
        <v>74</v>
      </c>
      <c r="R147" t="s">
        <v>74</v>
      </c>
      <c r="S147" t="s">
        <v>74</v>
      </c>
      <c r="T147" t="s">
        <v>74</v>
      </c>
      <c r="U147" t="s">
        <v>2388</v>
      </c>
      <c r="V147" t="s">
        <v>2389</v>
      </c>
      <c r="W147" t="s">
        <v>2390</v>
      </c>
      <c r="X147" t="s">
        <v>2391</v>
      </c>
      <c r="Y147" t="s">
        <v>2392</v>
      </c>
      <c r="Z147" t="s">
        <v>2393</v>
      </c>
      <c r="AA147" t="s">
        <v>2394</v>
      </c>
      <c r="AB147" t="s">
        <v>2395</v>
      </c>
      <c r="AC147" t="s">
        <v>74</v>
      </c>
      <c r="AD147" t="s">
        <v>74</v>
      </c>
      <c r="AE147" t="s">
        <v>74</v>
      </c>
      <c r="AF147" t="s">
        <v>74</v>
      </c>
      <c r="AG147">
        <v>46</v>
      </c>
      <c r="AH147">
        <v>27</v>
      </c>
      <c r="AI147">
        <v>32</v>
      </c>
      <c r="AJ147">
        <v>0</v>
      </c>
      <c r="AK147">
        <v>7</v>
      </c>
      <c r="AL147" t="s">
        <v>1817</v>
      </c>
      <c r="AM147" t="s">
        <v>229</v>
      </c>
      <c r="AN147" t="s">
        <v>1818</v>
      </c>
      <c r="AO147" t="s">
        <v>2380</v>
      </c>
      <c r="AP147" t="s">
        <v>2381</v>
      </c>
      <c r="AQ147" t="s">
        <v>74</v>
      </c>
      <c r="AR147" t="s">
        <v>2382</v>
      </c>
      <c r="AS147" t="s">
        <v>2383</v>
      </c>
      <c r="AT147" t="s">
        <v>1795</v>
      </c>
      <c r="AU147">
        <v>2003</v>
      </c>
      <c r="AV147">
        <v>43</v>
      </c>
      <c r="AW147">
        <v>5</v>
      </c>
      <c r="AX147" t="s">
        <v>74</v>
      </c>
      <c r="AY147" t="s">
        <v>74</v>
      </c>
      <c r="AZ147" t="s">
        <v>74</v>
      </c>
      <c r="BA147" t="s">
        <v>74</v>
      </c>
      <c r="BB147">
        <v>632</v>
      </c>
      <c r="BC147">
        <v>642</v>
      </c>
      <c r="BD147" t="s">
        <v>74</v>
      </c>
      <c r="BE147" t="s">
        <v>74</v>
      </c>
      <c r="BF147" t="s">
        <v>74</v>
      </c>
      <c r="BG147" t="s">
        <v>74</v>
      </c>
      <c r="BH147" t="s">
        <v>74</v>
      </c>
      <c r="BI147">
        <v>11</v>
      </c>
      <c r="BJ147" t="s">
        <v>678</v>
      </c>
      <c r="BK147" t="s">
        <v>94</v>
      </c>
      <c r="BL147" t="s">
        <v>678</v>
      </c>
      <c r="BM147" t="s">
        <v>2384</v>
      </c>
      <c r="BN147" t="s">
        <v>74</v>
      </c>
      <c r="BO147" t="s">
        <v>74</v>
      </c>
      <c r="BP147" t="s">
        <v>74</v>
      </c>
      <c r="BQ147" t="s">
        <v>74</v>
      </c>
      <c r="BR147" t="s">
        <v>97</v>
      </c>
      <c r="BS147" t="s">
        <v>2396</v>
      </c>
      <c r="BT147" t="str">
        <f>HYPERLINK("https%3A%2F%2Fwww.webofscience.com%2Fwos%2Fwoscc%2Ffull-record%2FWOS:000186258800003","View Full Record in Web of Science")</f>
        <v>View Full Record in Web of Science</v>
      </c>
    </row>
    <row r="148" spans="1:72" x14ac:dyDescent="0.15">
      <c r="A148" t="s">
        <v>72</v>
      </c>
      <c r="B148" t="s">
        <v>2397</v>
      </c>
      <c r="C148" t="s">
        <v>74</v>
      </c>
      <c r="D148" t="s">
        <v>74</v>
      </c>
      <c r="E148" t="s">
        <v>74</v>
      </c>
      <c r="F148" t="s">
        <v>2397</v>
      </c>
      <c r="G148" t="s">
        <v>74</v>
      </c>
      <c r="H148" t="s">
        <v>74</v>
      </c>
      <c r="I148" t="s">
        <v>2398</v>
      </c>
      <c r="J148" t="s">
        <v>772</v>
      </c>
      <c r="K148" t="s">
        <v>74</v>
      </c>
      <c r="L148" t="s">
        <v>74</v>
      </c>
      <c r="M148" t="s">
        <v>77</v>
      </c>
      <c r="N148" t="s">
        <v>78</v>
      </c>
      <c r="O148" t="s">
        <v>74</v>
      </c>
      <c r="P148" t="s">
        <v>74</v>
      </c>
      <c r="Q148" t="s">
        <v>74</v>
      </c>
      <c r="R148" t="s">
        <v>74</v>
      </c>
      <c r="S148" t="s">
        <v>74</v>
      </c>
      <c r="T148" t="s">
        <v>2399</v>
      </c>
      <c r="U148" t="s">
        <v>2400</v>
      </c>
      <c r="V148" t="s">
        <v>2401</v>
      </c>
      <c r="W148" t="s">
        <v>2402</v>
      </c>
      <c r="X148" t="s">
        <v>2403</v>
      </c>
      <c r="Y148" t="s">
        <v>2404</v>
      </c>
      <c r="Z148" t="s">
        <v>2405</v>
      </c>
      <c r="AA148" t="s">
        <v>2406</v>
      </c>
      <c r="AB148" t="s">
        <v>74</v>
      </c>
      <c r="AC148" t="s">
        <v>74</v>
      </c>
      <c r="AD148" t="s">
        <v>74</v>
      </c>
      <c r="AE148" t="s">
        <v>74</v>
      </c>
      <c r="AF148" t="s">
        <v>74</v>
      </c>
      <c r="AG148">
        <v>98</v>
      </c>
      <c r="AH148">
        <v>67</v>
      </c>
      <c r="AI148">
        <v>80</v>
      </c>
      <c r="AJ148">
        <v>1</v>
      </c>
      <c r="AK148">
        <v>20</v>
      </c>
      <c r="AL148" t="s">
        <v>110</v>
      </c>
      <c r="AM148" t="s">
        <v>111</v>
      </c>
      <c r="AN148" t="s">
        <v>112</v>
      </c>
      <c r="AO148" t="s">
        <v>783</v>
      </c>
      <c r="AP148" t="s">
        <v>74</v>
      </c>
      <c r="AQ148" t="s">
        <v>74</v>
      </c>
      <c r="AR148" t="s">
        <v>785</v>
      </c>
      <c r="AS148" t="s">
        <v>786</v>
      </c>
      <c r="AT148" t="s">
        <v>2056</v>
      </c>
      <c r="AU148">
        <v>2003</v>
      </c>
      <c r="AV148">
        <v>197</v>
      </c>
      <c r="AW148" t="s">
        <v>116</v>
      </c>
      <c r="AX148" t="s">
        <v>74</v>
      </c>
      <c r="AY148" t="s">
        <v>74</v>
      </c>
      <c r="AZ148" t="s">
        <v>74</v>
      </c>
      <c r="BA148" t="s">
        <v>74</v>
      </c>
      <c r="BB148">
        <v>239</v>
      </c>
      <c r="BC148">
        <v>261</v>
      </c>
      <c r="BD148" t="s">
        <v>74</v>
      </c>
      <c r="BE148" t="s">
        <v>2407</v>
      </c>
      <c r="BF148" t="str">
        <f>HYPERLINK("http://dx.doi.org/10.1016/S0031-0182(03)00468-1","http://dx.doi.org/10.1016/S0031-0182(03)00468-1")</f>
        <v>http://dx.doi.org/10.1016/S0031-0182(03)00468-1</v>
      </c>
      <c r="BG148" t="s">
        <v>74</v>
      </c>
      <c r="BH148" t="s">
        <v>74</v>
      </c>
      <c r="BI148">
        <v>23</v>
      </c>
      <c r="BJ148" t="s">
        <v>789</v>
      </c>
      <c r="BK148" t="s">
        <v>94</v>
      </c>
      <c r="BL148" t="s">
        <v>790</v>
      </c>
      <c r="BM148" t="s">
        <v>2408</v>
      </c>
      <c r="BN148" t="s">
        <v>74</v>
      </c>
      <c r="BO148" t="s">
        <v>74</v>
      </c>
      <c r="BP148" t="s">
        <v>74</v>
      </c>
      <c r="BQ148" t="s">
        <v>74</v>
      </c>
      <c r="BR148" t="s">
        <v>97</v>
      </c>
      <c r="BS148" t="s">
        <v>2409</v>
      </c>
      <c r="BT148" t="str">
        <f>HYPERLINK("https%3A%2F%2Fwww.webofscience.com%2Fwos%2Fwoscc%2Ffull-record%2FWOS:000185037300005","View Full Record in Web of Science")</f>
        <v>View Full Record in Web of Science</v>
      </c>
    </row>
    <row r="149" spans="1:72" x14ac:dyDescent="0.15">
      <c r="A149" t="s">
        <v>72</v>
      </c>
      <c r="B149" t="s">
        <v>2410</v>
      </c>
      <c r="C149" t="s">
        <v>74</v>
      </c>
      <c r="D149" t="s">
        <v>74</v>
      </c>
      <c r="E149" t="s">
        <v>74</v>
      </c>
      <c r="F149" t="s">
        <v>2410</v>
      </c>
      <c r="G149" t="s">
        <v>74</v>
      </c>
      <c r="H149" t="s">
        <v>74</v>
      </c>
      <c r="I149" t="s">
        <v>2411</v>
      </c>
      <c r="J149" t="s">
        <v>772</v>
      </c>
      <c r="K149" t="s">
        <v>74</v>
      </c>
      <c r="L149" t="s">
        <v>74</v>
      </c>
      <c r="M149" t="s">
        <v>77</v>
      </c>
      <c r="N149" t="s">
        <v>556</v>
      </c>
      <c r="O149" t="s">
        <v>74</v>
      </c>
      <c r="P149" t="s">
        <v>74</v>
      </c>
      <c r="Q149" t="s">
        <v>74</v>
      </c>
      <c r="R149" t="s">
        <v>74</v>
      </c>
      <c r="S149" t="s">
        <v>74</v>
      </c>
      <c r="T149" t="s">
        <v>2412</v>
      </c>
      <c r="U149" t="s">
        <v>2413</v>
      </c>
      <c r="V149" t="s">
        <v>2414</v>
      </c>
      <c r="W149" t="s">
        <v>2415</v>
      </c>
      <c r="X149" t="s">
        <v>2416</v>
      </c>
      <c r="Y149" t="s">
        <v>2417</v>
      </c>
      <c r="Z149" t="s">
        <v>2418</v>
      </c>
      <c r="AA149" t="s">
        <v>2419</v>
      </c>
      <c r="AB149" t="s">
        <v>2420</v>
      </c>
      <c r="AC149" t="s">
        <v>74</v>
      </c>
      <c r="AD149" t="s">
        <v>74</v>
      </c>
      <c r="AE149" t="s">
        <v>74</v>
      </c>
      <c r="AF149" t="s">
        <v>74</v>
      </c>
      <c r="AG149">
        <v>133</v>
      </c>
      <c r="AH149">
        <v>26</v>
      </c>
      <c r="AI149">
        <v>27</v>
      </c>
      <c r="AJ149">
        <v>2</v>
      </c>
      <c r="AK149">
        <v>9</v>
      </c>
      <c r="AL149" t="s">
        <v>781</v>
      </c>
      <c r="AM149" t="s">
        <v>111</v>
      </c>
      <c r="AN149" t="s">
        <v>782</v>
      </c>
      <c r="AO149" t="s">
        <v>783</v>
      </c>
      <c r="AP149" t="s">
        <v>784</v>
      </c>
      <c r="AQ149" t="s">
        <v>74</v>
      </c>
      <c r="AR149" t="s">
        <v>785</v>
      </c>
      <c r="AS149" t="s">
        <v>786</v>
      </c>
      <c r="AT149" t="s">
        <v>2056</v>
      </c>
      <c r="AU149">
        <v>2003</v>
      </c>
      <c r="AV149">
        <v>197</v>
      </c>
      <c r="AW149" t="s">
        <v>116</v>
      </c>
      <c r="AX149" t="s">
        <v>74</v>
      </c>
      <c r="AY149" t="s">
        <v>74</v>
      </c>
      <c r="AZ149" t="s">
        <v>74</v>
      </c>
      <c r="BA149" t="s">
        <v>74</v>
      </c>
      <c r="BB149">
        <v>293</v>
      </c>
      <c r="BC149">
        <v>321</v>
      </c>
      <c r="BD149" t="s">
        <v>74</v>
      </c>
      <c r="BE149" t="s">
        <v>2421</v>
      </c>
      <c r="BF149" t="str">
        <f>HYPERLINK("http://dx.doi.org/10.1016/S0031-0182(03)00470-X","http://dx.doi.org/10.1016/S0031-0182(03)00470-X")</f>
        <v>http://dx.doi.org/10.1016/S0031-0182(03)00470-X</v>
      </c>
      <c r="BG149" t="s">
        <v>74</v>
      </c>
      <c r="BH149" t="s">
        <v>74</v>
      </c>
      <c r="BI149">
        <v>29</v>
      </c>
      <c r="BJ149" t="s">
        <v>789</v>
      </c>
      <c r="BK149" t="s">
        <v>94</v>
      </c>
      <c r="BL149" t="s">
        <v>790</v>
      </c>
      <c r="BM149" t="s">
        <v>2408</v>
      </c>
      <c r="BN149" t="s">
        <v>74</v>
      </c>
      <c r="BO149" t="s">
        <v>74</v>
      </c>
      <c r="BP149" t="s">
        <v>74</v>
      </c>
      <c r="BQ149" t="s">
        <v>74</v>
      </c>
      <c r="BR149" t="s">
        <v>97</v>
      </c>
      <c r="BS149" t="s">
        <v>2422</v>
      </c>
      <c r="BT149" t="str">
        <f>HYPERLINK("https%3A%2F%2Fwww.webofscience.com%2Fwos%2Fwoscc%2Ffull-record%2FWOS:000185037300007","View Full Record in Web of Science")</f>
        <v>View Full Record in Web of Science</v>
      </c>
    </row>
    <row r="150" spans="1:72" x14ac:dyDescent="0.15">
      <c r="A150" t="s">
        <v>72</v>
      </c>
      <c r="B150" t="s">
        <v>2423</v>
      </c>
      <c r="C150" t="s">
        <v>74</v>
      </c>
      <c r="D150" t="s">
        <v>74</v>
      </c>
      <c r="E150" t="s">
        <v>74</v>
      </c>
      <c r="F150" t="s">
        <v>2423</v>
      </c>
      <c r="G150" t="s">
        <v>74</v>
      </c>
      <c r="H150" t="s">
        <v>74</v>
      </c>
      <c r="I150" t="s">
        <v>2424</v>
      </c>
      <c r="J150" t="s">
        <v>2425</v>
      </c>
      <c r="K150" t="s">
        <v>74</v>
      </c>
      <c r="L150" t="s">
        <v>74</v>
      </c>
      <c r="M150" t="s">
        <v>77</v>
      </c>
      <c r="N150" t="s">
        <v>78</v>
      </c>
      <c r="O150" t="s">
        <v>74</v>
      </c>
      <c r="P150" t="s">
        <v>74</v>
      </c>
      <c r="Q150" t="s">
        <v>74</v>
      </c>
      <c r="R150" t="s">
        <v>74</v>
      </c>
      <c r="S150" t="s">
        <v>74</v>
      </c>
      <c r="T150" t="s">
        <v>74</v>
      </c>
      <c r="U150" t="s">
        <v>2426</v>
      </c>
      <c r="V150" t="s">
        <v>2427</v>
      </c>
      <c r="W150" t="s">
        <v>2428</v>
      </c>
      <c r="X150" t="s">
        <v>2429</v>
      </c>
      <c r="Y150" t="s">
        <v>2430</v>
      </c>
      <c r="Z150" t="s">
        <v>74</v>
      </c>
      <c r="AA150" t="s">
        <v>2431</v>
      </c>
      <c r="AB150" t="s">
        <v>2432</v>
      </c>
      <c r="AC150" t="s">
        <v>74</v>
      </c>
      <c r="AD150" t="s">
        <v>74</v>
      </c>
      <c r="AE150" t="s">
        <v>74</v>
      </c>
      <c r="AF150" t="s">
        <v>74</v>
      </c>
      <c r="AG150">
        <v>65</v>
      </c>
      <c r="AH150">
        <v>44</v>
      </c>
      <c r="AI150">
        <v>48</v>
      </c>
      <c r="AJ150">
        <v>0</v>
      </c>
      <c r="AK150">
        <v>14</v>
      </c>
      <c r="AL150" t="s">
        <v>2433</v>
      </c>
      <c r="AM150" t="s">
        <v>2434</v>
      </c>
      <c r="AN150" t="s">
        <v>2435</v>
      </c>
      <c r="AO150" t="s">
        <v>2436</v>
      </c>
      <c r="AP150" t="s">
        <v>74</v>
      </c>
      <c r="AQ150" t="s">
        <v>74</v>
      </c>
      <c r="AR150" t="s">
        <v>2437</v>
      </c>
      <c r="AS150" t="s">
        <v>2438</v>
      </c>
      <c r="AT150" t="s">
        <v>1795</v>
      </c>
      <c r="AU150">
        <v>2003</v>
      </c>
      <c r="AV150">
        <v>76</v>
      </c>
      <c r="AW150">
        <v>5</v>
      </c>
      <c r="AX150" t="s">
        <v>74</v>
      </c>
      <c r="AY150" t="s">
        <v>74</v>
      </c>
      <c r="AZ150" t="s">
        <v>74</v>
      </c>
      <c r="BA150" t="s">
        <v>74</v>
      </c>
      <c r="BB150">
        <v>622</v>
      </c>
      <c r="BC150">
        <v>633</v>
      </c>
      <c r="BD150" t="s">
        <v>74</v>
      </c>
      <c r="BE150" t="s">
        <v>2439</v>
      </c>
      <c r="BF150" t="str">
        <f>HYPERLINK("http://dx.doi.org/10.1086/376920","http://dx.doi.org/10.1086/376920")</f>
        <v>http://dx.doi.org/10.1086/376920</v>
      </c>
      <c r="BG150" t="s">
        <v>74</v>
      </c>
      <c r="BH150" t="s">
        <v>74</v>
      </c>
      <c r="BI150">
        <v>12</v>
      </c>
      <c r="BJ150" t="s">
        <v>2035</v>
      </c>
      <c r="BK150" t="s">
        <v>94</v>
      </c>
      <c r="BL150" t="s">
        <v>2035</v>
      </c>
      <c r="BM150" t="s">
        <v>2440</v>
      </c>
      <c r="BN150">
        <v>14671710</v>
      </c>
      <c r="BO150" t="s">
        <v>74</v>
      </c>
      <c r="BP150" t="s">
        <v>74</v>
      </c>
      <c r="BQ150" t="s">
        <v>74</v>
      </c>
      <c r="BR150" t="s">
        <v>97</v>
      </c>
      <c r="BS150" t="s">
        <v>2441</v>
      </c>
      <c r="BT150" t="str">
        <f>HYPERLINK("https%3A%2F%2Fwww.webofscience.com%2Fwos%2Fwoscc%2Ffull-record%2FWOS:000187514400003","View Full Record in Web of Science")</f>
        <v>View Full Record in Web of Science</v>
      </c>
    </row>
    <row r="151" spans="1:72" x14ac:dyDescent="0.15">
      <c r="A151" t="s">
        <v>72</v>
      </c>
      <c r="B151" t="s">
        <v>2442</v>
      </c>
      <c r="C151" t="s">
        <v>74</v>
      </c>
      <c r="D151" t="s">
        <v>74</v>
      </c>
      <c r="E151" t="s">
        <v>74</v>
      </c>
      <c r="F151" t="s">
        <v>2442</v>
      </c>
      <c r="G151" t="s">
        <v>74</v>
      </c>
      <c r="H151" t="s">
        <v>74</v>
      </c>
      <c r="I151" t="s">
        <v>2443</v>
      </c>
      <c r="J151" t="s">
        <v>316</v>
      </c>
      <c r="K151" t="s">
        <v>74</v>
      </c>
      <c r="L151" t="s">
        <v>74</v>
      </c>
      <c r="M151" t="s">
        <v>77</v>
      </c>
      <c r="N151" t="s">
        <v>78</v>
      </c>
      <c r="O151" t="s">
        <v>74</v>
      </c>
      <c r="P151" t="s">
        <v>74</v>
      </c>
      <c r="Q151" t="s">
        <v>74</v>
      </c>
      <c r="R151" t="s">
        <v>74</v>
      </c>
      <c r="S151" t="s">
        <v>74</v>
      </c>
      <c r="T151" t="s">
        <v>74</v>
      </c>
      <c r="U151" t="s">
        <v>2444</v>
      </c>
      <c r="V151" t="s">
        <v>2445</v>
      </c>
      <c r="W151" t="s">
        <v>2446</v>
      </c>
      <c r="X151" t="s">
        <v>2447</v>
      </c>
      <c r="Y151" t="s">
        <v>2448</v>
      </c>
      <c r="Z151" t="s">
        <v>2449</v>
      </c>
      <c r="AA151" t="s">
        <v>74</v>
      </c>
      <c r="AB151" t="s">
        <v>74</v>
      </c>
      <c r="AC151" t="s">
        <v>74</v>
      </c>
      <c r="AD151" t="s">
        <v>74</v>
      </c>
      <c r="AE151" t="s">
        <v>74</v>
      </c>
      <c r="AF151" t="s">
        <v>74</v>
      </c>
      <c r="AG151">
        <v>62</v>
      </c>
      <c r="AH151">
        <v>30</v>
      </c>
      <c r="AI151">
        <v>34</v>
      </c>
      <c r="AJ151">
        <v>0</v>
      </c>
      <c r="AK151">
        <v>11</v>
      </c>
      <c r="AL151" t="s">
        <v>207</v>
      </c>
      <c r="AM151" t="s">
        <v>229</v>
      </c>
      <c r="AN151" t="s">
        <v>1592</v>
      </c>
      <c r="AO151" t="s">
        <v>324</v>
      </c>
      <c r="AP151" t="s">
        <v>325</v>
      </c>
      <c r="AQ151" t="s">
        <v>74</v>
      </c>
      <c r="AR151" t="s">
        <v>326</v>
      </c>
      <c r="AS151" t="s">
        <v>327</v>
      </c>
      <c r="AT151" t="s">
        <v>1120</v>
      </c>
      <c r="AU151">
        <v>2003</v>
      </c>
      <c r="AV151">
        <v>26</v>
      </c>
      <c r="AW151">
        <v>9</v>
      </c>
      <c r="AX151" t="s">
        <v>74</v>
      </c>
      <c r="AY151" t="s">
        <v>74</v>
      </c>
      <c r="AZ151" t="s">
        <v>74</v>
      </c>
      <c r="BA151" t="s">
        <v>74</v>
      </c>
      <c r="BB151">
        <v>591</v>
      </c>
      <c r="BC151">
        <v>600</v>
      </c>
      <c r="BD151" t="s">
        <v>74</v>
      </c>
      <c r="BE151" t="s">
        <v>2450</v>
      </c>
      <c r="BF151" t="str">
        <f>HYPERLINK("http://dx.doi.org/10.1007/s00300-003-0525-9","http://dx.doi.org/10.1007/s00300-003-0525-9")</f>
        <v>http://dx.doi.org/10.1007/s00300-003-0525-9</v>
      </c>
      <c r="BG151" t="s">
        <v>74</v>
      </c>
      <c r="BH151" t="s">
        <v>74</v>
      </c>
      <c r="BI151">
        <v>10</v>
      </c>
      <c r="BJ151" t="s">
        <v>329</v>
      </c>
      <c r="BK151" t="s">
        <v>94</v>
      </c>
      <c r="BL151" t="s">
        <v>330</v>
      </c>
      <c r="BM151" t="s">
        <v>2451</v>
      </c>
      <c r="BN151" t="s">
        <v>74</v>
      </c>
      <c r="BO151" t="s">
        <v>74</v>
      </c>
      <c r="BP151" t="s">
        <v>74</v>
      </c>
      <c r="BQ151" t="s">
        <v>74</v>
      </c>
      <c r="BR151" t="s">
        <v>97</v>
      </c>
      <c r="BS151" t="s">
        <v>2452</v>
      </c>
      <c r="BT151" t="str">
        <f>HYPERLINK("https%3A%2F%2Fwww.webofscience.com%2Fwos%2Fwoscc%2Ffull-record%2FWOS:000184953500004","View Full Record in Web of Science")</f>
        <v>View Full Record in Web of Science</v>
      </c>
    </row>
    <row r="152" spans="1:72" x14ac:dyDescent="0.15">
      <c r="A152" t="s">
        <v>72</v>
      </c>
      <c r="B152" t="s">
        <v>2453</v>
      </c>
      <c r="C152" t="s">
        <v>74</v>
      </c>
      <c r="D152" t="s">
        <v>74</v>
      </c>
      <c r="E152" t="s">
        <v>74</v>
      </c>
      <c r="F152" t="s">
        <v>2453</v>
      </c>
      <c r="G152" t="s">
        <v>74</v>
      </c>
      <c r="H152" t="s">
        <v>74</v>
      </c>
      <c r="I152" t="s">
        <v>2454</v>
      </c>
      <c r="J152" t="s">
        <v>316</v>
      </c>
      <c r="K152" t="s">
        <v>74</v>
      </c>
      <c r="L152" t="s">
        <v>74</v>
      </c>
      <c r="M152" t="s">
        <v>77</v>
      </c>
      <c r="N152" t="s">
        <v>78</v>
      </c>
      <c r="O152" t="s">
        <v>74</v>
      </c>
      <c r="P152" t="s">
        <v>74</v>
      </c>
      <c r="Q152" t="s">
        <v>74</v>
      </c>
      <c r="R152" t="s">
        <v>74</v>
      </c>
      <c r="S152" t="s">
        <v>74</v>
      </c>
      <c r="T152" t="s">
        <v>74</v>
      </c>
      <c r="U152" t="s">
        <v>2455</v>
      </c>
      <c r="V152" t="s">
        <v>2456</v>
      </c>
      <c r="W152" t="s">
        <v>2457</v>
      </c>
      <c r="X152" t="s">
        <v>2458</v>
      </c>
      <c r="Y152" t="s">
        <v>2459</v>
      </c>
      <c r="Z152" t="s">
        <v>2460</v>
      </c>
      <c r="AA152" t="s">
        <v>2461</v>
      </c>
      <c r="AB152" t="s">
        <v>2462</v>
      </c>
      <c r="AC152" t="s">
        <v>74</v>
      </c>
      <c r="AD152" t="s">
        <v>74</v>
      </c>
      <c r="AE152" t="s">
        <v>74</v>
      </c>
      <c r="AF152" t="s">
        <v>74</v>
      </c>
      <c r="AG152">
        <v>66</v>
      </c>
      <c r="AH152">
        <v>17</v>
      </c>
      <c r="AI152">
        <v>19</v>
      </c>
      <c r="AJ152">
        <v>0</v>
      </c>
      <c r="AK152">
        <v>10</v>
      </c>
      <c r="AL152" t="s">
        <v>207</v>
      </c>
      <c r="AM152" t="s">
        <v>229</v>
      </c>
      <c r="AN152" t="s">
        <v>323</v>
      </c>
      <c r="AO152" t="s">
        <v>324</v>
      </c>
      <c r="AP152" t="s">
        <v>325</v>
      </c>
      <c r="AQ152" t="s">
        <v>74</v>
      </c>
      <c r="AR152" t="s">
        <v>326</v>
      </c>
      <c r="AS152" t="s">
        <v>327</v>
      </c>
      <c r="AT152" t="s">
        <v>1120</v>
      </c>
      <c r="AU152">
        <v>2003</v>
      </c>
      <c r="AV152">
        <v>26</v>
      </c>
      <c r="AW152">
        <v>9</v>
      </c>
      <c r="AX152" t="s">
        <v>74</v>
      </c>
      <c r="AY152" t="s">
        <v>74</v>
      </c>
      <c r="AZ152" t="s">
        <v>74</v>
      </c>
      <c r="BA152" t="s">
        <v>74</v>
      </c>
      <c r="BB152">
        <v>601</v>
      </c>
      <c r="BC152">
        <v>609</v>
      </c>
      <c r="BD152" t="s">
        <v>74</v>
      </c>
      <c r="BE152" t="s">
        <v>2463</v>
      </c>
      <c r="BF152" t="str">
        <f>HYPERLINK("http://dx.doi.org/10.1007/s00300-003-0529-5","http://dx.doi.org/10.1007/s00300-003-0529-5")</f>
        <v>http://dx.doi.org/10.1007/s00300-003-0529-5</v>
      </c>
      <c r="BG152" t="s">
        <v>74</v>
      </c>
      <c r="BH152" t="s">
        <v>74</v>
      </c>
      <c r="BI152">
        <v>9</v>
      </c>
      <c r="BJ152" t="s">
        <v>329</v>
      </c>
      <c r="BK152" t="s">
        <v>94</v>
      </c>
      <c r="BL152" t="s">
        <v>330</v>
      </c>
      <c r="BM152" t="s">
        <v>2451</v>
      </c>
      <c r="BN152" t="s">
        <v>74</v>
      </c>
      <c r="BO152" t="s">
        <v>74</v>
      </c>
      <c r="BP152" t="s">
        <v>74</v>
      </c>
      <c r="BQ152" t="s">
        <v>74</v>
      </c>
      <c r="BR152" t="s">
        <v>97</v>
      </c>
      <c r="BS152" t="s">
        <v>2464</v>
      </c>
      <c r="BT152" t="str">
        <f>HYPERLINK("https%3A%2F%2Fwww.webofscience.com%2Fwos%2Fwoscc%2Ffull-record%2FWOS:000184953500005","View Full Record in Web of Science")</f>
        <v>View Full Record in Web of Science</v>
      </c>
    </row>
    <row r="153" spans="1:72" x14ac:dyDescent="0.15">
      <c r="A153" t="s">
        <v>72</v>
      </c>
      <c r="B153" t="s">
        <v>2465</v>
      </c>
      <c r="C153" t="s">
        <v>74</v>
      </c>
      <c r="D153" t="s">
        <v>74</v>
      </c>
      <c r="E153" t="s">
        <v>74</v>
      </c>
      <c r="F153" t="s">
        <v>2465</v>
      </c>
      <c r="G153" t="s">
        <v>74</v>
      </c>
      <c r="H153" t="s">
        <v>74</v>
      </c>
      <c r="I153" t="s">
        <v>2466</v>
      </c>
      <c r="J153" t="s">
        <v>316</v>
      </c>
      <c r="K153" t="s">
        <v>74</v>
      </c>
      <c r="L153" t="s">
        <v>74</v>
      </c>
      <c r="M153" t="s">
        <v>77</v>
      </c>
      <c r="N153" t="s">
        <v>78</v>
      </c>
      <c r="O153" t="s">
        <v>74</v>
      </c>
      <c r="P153" t="s">
        <v>74</v>
      </c>
      <c r="Q153" t="s">
        <v>74</v>
      </c>
      <c r="R153" t="s">
        <v>74</v>
      </c>
      <c r="S153" t="s">
        <v>74</v>
      </c>
      <c r="T153" t="s">
        <v>74</v>
      </c>
      <c r="U153" t="s">
        <v>2467</v>
      </c>
      <c r="V153" t="s">
        <v>2468</v>
      </c>
      <c r="W153" t="s">
        <v>2469</v>
      </c>
      <c r="X153" t="s">
        <v>2470</v>
      </c>
      <c r="Y153" t="s">
        <v>2471</v>
      </c>
      <c r="Z153" t="s">
        <v>74</v>
      </c>
      <c r="AA153" t="s">
        <v>74</v>
      </c>
      <c r="AB153" t="s">
        <v>74</v>
      </c>
      <c r="AC153" t="s">
        <v>74</v>
      </c>
      <c r="AD153" t="s">
        <v>74</v>
      </c>
      <c r="AE153" t="s">
        <v>74</v>
      </c>
      <c r="AF153" t="s">
        <v>74</v>
      </c>
      <c r="AG153">
        <v>43</v>
      </c>
      <c r="AH153">
        <v>24</v>
      </c>
      <c r="AI153">
        <v>24</v>
      </c>
      <c r="AJ153">
        <v>0</v>
      </c>
      <c r="AK153">
        <v>9</v>
      </c>
      <c r="AL153" t="s">
        <v>342</v>
      </c>
      <c r="AM153" t="s">
        <v>229</v>
      </c>
      <c r="AN153" t="s">
        <v>343</v>
      </c>
      <c r="AO153" t="s">
        <v>324</v>
      </c>
      <c r="AP153" t="s">
        <v>74</v>
      </c>
      <c r="AQ153" t="s">
        <v>74</v>
      </c>
      <c r="AR153" t="s">
        <v>326</v>
      </c>
      <c r="AS153" t="s">
        <v>327</v>
      </c>
      <c r="AT153" t="s">
        <v>1120</v>
      </c>
      <c r="AU153">
        <v>2003</v>
      </c>
      <c r="AV153">
        <v>26</v>
      </c>
      <c r="AW153">
        <v>9</v>
      </c>
      <c r="AX153" t="s">
        <v>74</v>
      </c>
      <c r="AY153" t="s">
        <v>74</v>
      </c>
      <c r="AZ153" t="s">
        <v>74</v>
      </c>
      <c r="BA153" t="s">
        <v>74</v>
      </c>
      <c r="BB153">
        <v>621</v>
      </c>
      <c r="BC153">
        <v>628</v>
      </c>
      <c r="BD153" t="s">
        <v>74</v>
      </c>
      <c r="BE153" t="s">
        <v>2472</v>
      </c>
      <c r="BF153" t="str">
        <f>HYPERLINK("http://dx.doi.org/10.1007/s00300-003-0519-7","http://dx.doi.org/10.1007/s00300-003-0519-7")</f>
        <v>http://dx.doi.org/10.1007/s00300-003-0519-7</v>
      </c>
      <c r="BG153" t="s">
        <v>74</v>
      </c>
      <c r="BH153" t="s">
        <v>74</v>
      </c>
      <c r="BI153">
        <v>8</v>
      </c>
      <c r="BJ153" t="s">
        <v>329</v>
      </c>
      <c r="BK153" t="s">
        <v>94</v>
      </c>
      <c r="BL153" t="s">
        <v>330</v>
      </c>
      <c r="BM153" t="s">
        <v>2451</v>
      </c>
      <c r="BN153" t="s">
        <v>74</v>
      </c>
      <c r="BO153" t="s">
        <v>74</v>
      </c>
      <c r="BP153" t="s">
        <v>74</v>
      </c>
      <c r="BQ153" t="s">
        <v>74</v>
      </c>
      <c r="BR153" t="s">
        <v>97</v>
      </c>
      <c r="BS153" t="s">
        <v>2473</v>
      </c>
      <c r="BT153" t="str">
        <f>HYPERLINK("https%3A%2F%2Fwww.webofscience.com%2Fwos%2Fwoscc%2Ffull-record%2FWOS:000184953500007","View Full Record in Web of Science")</f>
        <v>View Full Record in Web of Science</v>
      </c>
    </row>
    <row r="154" spans="1:72" x14ac:dyDescent="0.15">
      <c r="A154" t="s">
        <v>72</v>
      </c>
      <c r="B154" t="s">
        <v>2474</v>
      </c>
      <c r="C154" t="s">
        <v>74</v>
      </c>
      <c r="D154" t="s">
        <v>74</v>
      </c>
      <c r="E154" t="s">
        <v>74</v>
      </c>
      <c r="F154" t="s">
        <v>2474</v>
      </c>
      <c r="G154" t="s">
        <v>74</v>
      </c>
      <c r="H154" t="s">
        <v>74</v>
      </c>
      <c r="I154" t="s">
        <v>2475</v>
      </c>
      <c r="J154" t="s">
        <v>2476</v>
      </c>
      <c r="K154" t="s">
        <v>74</v>
      </c>
      <c r="L154" t="s">
        <v>74</v>
      </c>
      <c r="M154" t="s">
        <v>77</v>
      </c>
      <c r="N154" t="s">
        <v>159</v>
      </c>
      <c r="O154" t="s">
        <v>2477</v>
      </c>
      <c r="P154" t="s">
        <v>2478</v>
      </c>
      <c r="Q154" t="s">
        <v>2479</v>
      </c>
      <c r="R154" t="s">
        <v>74</v>
      </c>
      <c r="S154" t="s">
        <v>74</v>
      </c>
      <c r="T154" t="s">
        <v>2480</v>
      </c>
      <c r="U154" t="s">
        <v>2481</v>
      </c>
      <c r="V154" t="s">
        <v>2482</v>
      </c>
      <c r="W154" t="s">
        <v>2483</v>
      </c>
      <c r="X154" t="s">
        <v>2484</v>
      </c>
      <c r="Y154" t="s">
        <v>2485</v>
      </c>
      <c r="Z154" t="s">
        <v>2486</v>
      </c>
      <c r="AA154" t="s">
        <v>74</v>
      </c>
      <c r="AB154" t="s">
        <v>74</v>
      </c>
      <c r="AC154" t="s">
        <v>74</v>
      </c>
      <c r="AD154" t="s">
        <v>74</v>
      </c>
      <c r="AE154" t="s">
        <v>74</v>
      </c>
      <c r="AF154" t="s">
        <v>74</v>
      </c>
      <c r="AG154">
        <v>24</v>
      </c>
      <c r="AH154">
        <v>6</v>
      </c>
      <c r="AI154">
        <v>10</v>
      </c>
      <c r="AJ154">
        <v>0</v>
      </c>
      <c r="AK154">
        <v>4</v>
      </c>
      <c r="AL154" t="s">
        <v>169</v>
      </c>
      <c r="AM154" t="s">
        <v>170</v>
      </c>
      <c r="AN154" t="s">
        <v>171</v>
      </c>
      <c r="AO154" t="s">
        <v>2487</v>
      </c>
      <c r="AP154" t="s">
        <v>74</v>
      </c>
      <c r="AQ154" t="s">
        <v>74</v>
      </c>
      <c r="AR154" t="s">
        <v>2488</v>
      </c>
      <c r="AS154" t="s">
        <v>2489</v>
      </c>
      <c r="AT154" t="s">
        <v>1120</v>
      </c>
      <c r="AU154">
        <v>2003</v>
      </c>
      <c r="AV154">
        <v>36</v>
      </c>
      <c r="AW154" t="s">
        <v>2490</v>
      </c>
      <c r="AX154" t="s">
        <v>74</v>
      </c>
      <c r="AY154" t="s">
        <v>74</v>
      </c>
      <c r="AZ154" t="s">
        <v>2491</v>
      </c>
      <c r="BA154" t="s">
        <v>74</v>
      </c>
      <c r="BB154">
        <v>339</v>
      </c>
      <c r="BC154">
        <v>342</v>
      </c>
      <c r="BD154" t="s">
        <v>74</v>
      </c>
      <c r="BE154" t="s">
        <v>2492</v>
      </c>
      <c r="BF154" t="str">
        <f>HYPERLINK("http://dx.doi.org/10.1016/S1350-4487(03)00148-3","http://dx.doi.org/10.1016/S1350-4487(03)00148-3")</f>
        <v>http://dx.doi.org/10.1016/S1350-4487(03)00148-3</v>
      </c>
      <c r="BG154" t="s">
        <v>74</v>
      </c>
      <c r="BH154" t="s">
        <v>74</v>
      </c>
      <c r="BI154">
        <v>4</v>
      </c>
      <c r="BJ154" t="s">
        <v>2493</v>
      </c>
      <c r="BK154" t="s">
        <v>177</v>
      </c>
      <c r="BL154" t="s">
        <v>2493</v>
      </c>
      <c r="BM154" t="s">
        <v>2494</v>
      </c>
      <c r="BN154" t="s">
        <v>74</v>
      </c>
      <c r="BO154" t="s">
        <v>74</v>
      </c>
      <c r="BP154" t="s">
        <v>74</v>
      </c>
      <c r="BQ154" t="s">
        <v>74</v>
      </c>
      <c r="BR154" t="s">
        <v>97</v>
      </c>
      <c r="BS154" t="s">
        <v>2495</v>
      </c>
      <c r="BT154" t="str">
        <f>HYPERLINK("https%3A%2F%2Fwww.webofscience.com%2Fwos%2Fwoscc%2Ffull-record%2FWOS:000185503400061","View Full Record in Web of Science")</f>
        <v>View Full Record in Web of Science</v>
      </c>
    </row>
    <row r="155" spans="1:72" x14ac:dyDescent="0.15">
      <c r="A155" t="s">
        <v>72</v>
      </c>
      <c r="B155" t="s">
        <v>2496</v>
      </c>
      <c r="C155" t="s">
        <v>74</v>
      </c>
      <c r="D155" t="s">
        <v>74</v>
      </c>
      <c r="E155" t="s">
        <v>74</v>
      </c>
      <c r="F155" t="s">
        <v>2496</v>
      </c>
      <c r="G155" t="s">
        <v>74</v>
      </c>
      <c r="H155" t="s">
        <v>74</v>
      </c>
      <c r="I155" t="s">
        <v>2497</v>
      </c>
      <c r="J155" t="s">
        <v>2498</v>
      </c>
      <c r="K155" t="s">
        <v>74</v>
      </c>
      <c r="L155" t="s">
        <v>74</v>
      </c>
      <c r="M155" t="s">
        <v>77</v>
      </c>
      <c r="N155" t="s">
        <v>78</v>
      </c>
      <c r="O155" t="s">
        <v>74</v>
      </c>
      <c r="P155" t="s">
        <v>74</v>
      </c>
      <c r="Q155" t="s">
        <v>74</v>
      </c>
      <c r="R155" t="s">
        <v>74</v>
      </c>
      <c r="S155" t="s">
        <v>74</v>
      </c>
      <c r="T155" t="s">
        <v>2499</v>
      </c>
      <c r="U155" t="s">
        <v>2500</v>
      </c>
      <c r="V155" t="s">
        <v>2501</v>
      </c>
      <c r="W155" t="s">
        <v>2502</v>
      </c>
      <c r="X155" t="s">
        <v>2503</v>
      </c>
      <c r="Y155" t="s">
        <v>2504</v>
      </c>
      <c r="Z155" t="s">
        <v>74</v>
      </c>
      <c r="AA155" t="s">
        <v>2505</v>
      </c>
      <c r="AB155" t="s">
        <v>2506</v>
      </c>
      <c r="AC155" t="s">
        <v>74</v>
      </c>
      <c r="AD155" t="s">
        <v>74</v>
      </c>
      <c r="AE155" t="s">
        <v>74</v>
      </c>
      <c r="AF155" t="s">
        <v>74</v>
      </c>
      <c r="AG155">
        <v>33</v>
      </c>
      <c r="AH155">
        <v>141</v>
      </c>
      <c r="AI155">
        <v>153</v>
      </c>
      <c r="AJ155">
        <v>2</v>
      </c>
      <c r="AK155">
        <v>40</v>
      </c>
      <c r="AL155" t="s">
        <v>110</v>
      </c>
      <c r="AM155" t="s">
        <v>111</v>
      </c>
      <c r="AN155" t="s">
        <v>112</v>
      </c>
      <c r="AO155" t="s">
        <v>2507</v>
      </c>
      <c r="AP155" t="s">
        <v>74</v>
      </c>
      <c r="AQ155" t="s">
        <v>74</v>
      </c>
      <c r="AR155" t="s">
        <v>2508</v>
      </c>
      <c r="AS155" t="s">
        <v>2509</v>
      </c>
      <c r="AT155" t="s">
        <v>2056</v>
      </c>
      <c r="AU155">
        <v>2003</v>
      </c>
      <c r="AV155">
        <v>313</v>
      </c>
      <c r="AW155" t="s">
        <v>1894</v>
      </c>
      <c r="AX155" t="s">
        <v>74</v>
      </c>
      <c r="AY155" t="s">
        <v>74</v>
      </c>
      <c r="AZ155" t="s">
        <v>74</v>
      </c>
      <c r="BA155" t="s">
        <v>74</v>
      </c>
      <c r="BB155">
        <v>25</v>
      </c>
      <c r="BC155">
        <v>39</v>
      </c>
      <c r="BD155" t="s">
        <v>74</v>
      </c>
      <c r="BE155" t="s">
        <v>2510</v>
      </c>
      <c r="BF155" t="str">
        <f>HYPERLINK("http://dx.doi.org/10.1016/S0048-9697(03)00265-1","http://dx.doi.org/10.1016/S0048-9697(03)00265-1")</f>
        <v>http://dx.doi.org/10.1016/S0048-9697(03)00265-1</v>
      </c>
      <c r="BG155" t="s">
        <v>74</v>
      </c>
      <c r="BH155" t="s">
        <v>74</v>
      </c>
      <c r="BI155">
        <v>15</v>
      </c>
      <c r="BJ155" t="s">
        <v>2511</v>
      </c>
      <c r="BK155" t="s">
        <v>94</v>
      </c>
      <c r="BL155" t="s">
        <v>2512</v>
      </c>
      <c r="BM155" t="s">
        <v>2513</v>
      </c>
      <c r="BN155">
        <v>12922058</v>
      </c>
      <c r="BO155" t="s">
        <v>1767</v>
      </c>
      <c r="BP155" t="s">
        <v>74</v>
      </c>
      <c r="BQ155" t="s">
        <v>74</v>
      </c>
      <c r="BR155" t="s">
        <v>97</v>
      </c>
      <c r="BS155" t="s">
        <v>2514</v>
      </c>
      <c r="BT155" t="str">
        <f>HYPERLINK("https%3A%2F%2Fwww.webofscience.com%2Fwos%2Fwoscc%2Ffull-record%2FWOS:000184929200003","View Full Record in Web of Science")</f>
        <v>View Full Record in Web of Science</v>
      </c>
    </row>
    <row r="156" spans="1:72" x14ac:dyDescent="0.15">
      <c r="A156" t="s">
        <v>72</v>
      </c>
      <c r="B156" t="s">
        <v>2515</v>
      </c>
      <c r="C156" t="s">
        <v>74</v>
      </c>
      <c r="D156" t="s">
        <v>74</v>
      </c>
      <c r="E156" t="s">
        <v>74</v>
      </c>
      <c r="F156" t="s">
        <v>2515</v>
      </c>
      <c r="G156" t="s">
        <v>74</v>
      </c>
      <c r="H156" t="s">
        <v>74</v>
      </c>
      <c r="I156" t="s">
        <v>2516</v>
      </c>
      <c r="J156" t="s">
        <v>2517</v>
      </c>
      <c r="K156" t="s">
        <v>74</v>
      </c>
      <c r="L156" t="s">
        <v>74</v>
      </c>
      <c r="M156" t="s">
        <v>77</v>
      </c>
      <c r="N156" t="s">
        <v>78</v>
      </c>
      <c r="O156" t="s">
        <v>74</v>
      </c>
      <c r="P156" t="s">
        <v>74</v>
      </c>
      <c r="Q156" t="s">
        <v>74</v>
      </c>
      <c r="R156" t="s">
        <v>74</v>
      </c>
      <c r="S156" t="s">
        <v>74</v>
      </c>
      <c r="T156" t="s">
        <v>2518</v>
      </c>
      <c r="U156" t="s">
        <v>2519</v>
      </c>
      <c r="V156" t="s">
        <v>2520</v>
      </c>
      <c r="W156" t="s">
        <v>2521</v>
      </c>
      <c r="X156" t="s">
        <v>2522</v>
      </c>
      <c r="Y156" t="s">
        <v>2523</v>
      </c>
      <c r="Z156" t="s">
        <v>74</v>
      </c>
      <c r="AA156" t="s">
        <v>74</v>
      </c>
      <c r="AB156" t="s">
        <v>74</v>
      </c>
      <c r="AC156" t="s">
        <v>74</v>
      </c>
      <c r="AD156" t="s">
        <v>74</v>
      </c>
      <c r="AE156" t="s">
        <v>74</v>
      </c>
      <c r="AF156" t="s">
        <v>74</v>
      </c>
      <c r="AG156">
        <v>77</v>
      </c>
      <c r="AH156">
        <v>26</v>
      </c>
      <c r="AI156">
        <v>29</v>
      </c>
      <c r="AJ156">
        <v>0</v>
      </c>
      <c r="AK156">
        <v>3</v>
      </c>
      <c r="AL156" t="s">
        <v>110</v>
      </c>
      <c r="AM156" t="s">
        <v>111</v>
      </c>
      <c r="AN156" t="s">
        <v>112</v>
      </c>
      <c r="AO156" t="s">
        <v>2524</v>
      </c>
      <c r="AP156" t="s">
        <v>74</v>
      </c>
      <c r="AQ156" t="s">
        <v>74</v>
      </c>
      <c r="AR156" t="s">
        <v>2525</v>
      </c>
      <c r="AS156" t="s">
        <v>2526</v>
      </c>
      <c r="AT156" t="s">
        <v>2056</v>
      </c>
      <c r="AU156">
        <v>2003</v>
      </c>
      <c r="AV156">
        <v>161</v>
      </c>
      <c r="AW156" t="s">
        <v>787</v>
      </c>
      <c r="AX156" t="s">
        <v>74</v>
      </c>
      <c r="AY156" t="s">
        <v>74</v>
      </c>
      <c r="AZ156" t="s">
        <v>74</v>
      </c>
      <c r="BA156" t="s">
        <v>74</v>
      </c>
      <c r="BB156">
        <v>131</v>
      </c>
      <c r="BC156">
        <v>152</v>
      </c>
      <c r="BD156" t="s">
        <v>74</v>
      </c>
      <c r="BE156" t="s">
        <v>2527</v>
      </c>
      <c r="BF156" t="str">
        <f>HYPERLINK("http://dx.doi.org/10.1016/S0037-0738(03)00069-1","http://dx.doi.org/10.1016/S0037-0738(03)00069-1")</f>
        <v>http://dx.doi.org/10.1016/S0037-0738(03)00069-1</v>
      </c>
      <c r="BG156" t="s">
        <v>74</v>
      </c>
      <c r="BH156" t="s">
        <v>74</v>
      </c>
      <c r="BI156">
        <v>22</v>
      </c>
      <c r="BJ156" t="s">
        <v>549</v>
      </c>
      <c r="BK156" t="s">
        <v>94</v>
      </c>
      <c r="BL156" t="s">
        <v>549</v>
      </c>
      <c r="BM156" t="s">
        <v>2528</v>
      </c>
      <c r="BN156" t="s">
        <v>74</v>
      </c>
      <c r="BO156" t="s">
        <v>74</v>
      </c>
      <c r="BP156" t="s">
        <v>74</v>
      </c>
      <c r="BQ156" t="s">
        <v>74</v>
      </c>
      <c r="BR156" t="s">
        <v>97</v>
      </c>
      <c r="BS156" t="s">
        <v>2529</v>
      </c>
      <c r="BT156" t="str">
        <f>HYPERLINK("https%3A%2F%2Fwww.webofscience.com%2Fwos%2Fwoscc%2Ffull-record%2FWOS:000185107000008","View Full Record in Web of Science")</f>
        <v>View Full Record in Web of Science</v>
      </c>
    </row>
    <row r="157" spans="1:72" x14ac:dyDescent="0.15">
      <c r="A157" t="s">
        <v>72</v>
      </c>
      <c r="B157" t="s">
        <v>2530</v>
      </c>
      <c r="C157" t="s">
        <v>74</v>
      </c>
      <c r="D157" t="s">
        <v>74</v>
      </c>
      <c r="E157" t="s">
        <v>74</v>
      </c>
      <c r="F157" t="s">
        <v>2530</v>
      </c>
      <c r="G157" t="s">
        <v>74</v>
      </c>
      <c r="H157" t="s">
        <v>74</v>
      </c>
      <c r="I157" t="s">
        <v>2531</v>
      </c>
      <c r="J157" t="s">
        <v>2532</v>
      </c>
      <c r="K157" t="s">
        <v>74</v>
      </c>
      <c r="L157" t="s">
        <v>74</v>
      </c>
      <c r="M157" t="s">
        <v>77</v>
      </c>
      <c r="N157" t="s">
        <v>78</v>
      </c>
      <c r="O157" t="s">
        <v>74</v>
      </c>
      <c r="P157" t="s">
        <v>74</v>
      </c>
      <c r="Q157" t="s">
        <v>74</v>
      </c>
      <c r="R157" t="s">
        <v>74</v>
      </c>
      <c r="S157" t="s">
        <v>74</v>
      </c>
      <c r="T157" t="s">
        <v>2533</v>
      </c>
      <c r="U157" t="s">
        <v>2534</v>
      </c>
      <c r="V157" t="s">
        <v>2535</v>
      </c>
      <c r="W157" t="s">
        <v>2536</v>
      </c>
      <c r="X157" t="s">
        <v>2537</v>
      </c>
      <c r="Y157" t="s">
        <v>2538</v>
      </c>
      <c r="Z157" t="s">
        <v>2539</v>
      </c>
      <c r="AA157" t="s">
        <v>74</v>
      </c>
      <c r="AB157" t="s">
        <v>1393</v>
      </c>
      <c r="AC157" t="s">
        <v>74</v>
      </c>
      <c r="AD157" t="s">
        <v>74</v>
      </c>
      <c r="AE157" t="s">
        <v>74</v>
      </c>
      <c r="AF157" t="s">
        <v>74</v>
      </c>
      <c r="AG157">
        <v>35</v>
      </c>
      <c r="AH157">
        <v>23</v>
      </c>
      <c r="AI157">
        <v>26</v>
      </c>
      <c r="AJ157">
        <v>3</v>
      </c>
      <c r="AK157">
        <v>10</v>
      </c>
      <c r="AL157" t="s">
        <v>2540</v>
      </c>
      <c r="AM157" t="s">
        <v>540</v>
      </c>
      <c r="AN157" t="s">
        <v>2541</v>
      </c>
      <c r="AO157" t="s">
        <v>2542</v>
      </c>
      <c r="AP157" t="s">
        <v>2543</v>
      </c>
      <c r="AQ157" t="s">
        <v>74</v>
      </c>
      <c r="AR157" t="s">
        <v>2532</v>
      </c>
      <c r="AS157" t="s">
        <v>2544</v>
      </c>
      <c r="AT157" t="s">
        <v>1120</v>
      </c>
      <c r="AU157">
        <v>2003</v>
      </c>
      <c r="AV157">
        <v>26</v>
      </c>
      <c r="AW157">
        <v>3</v>
      </c>
      <c r="AX157" t="s">
        <v>74</v>
      </c>
      <c r="AY157" t="s">
        <v>74</v>
      </c>
      <c r="AZ157" t="s">
        <v>74</v>
      </c>
      <c r="BA157" t="s">
        <v>74</v>
      </c>
      <c r="BB157">
        <v>338</v>
      </c>
      <c r="BC157">
        <v>344</v>
      </c>
      <c r="BD157" t="s">
        <v>74</v>
      </c>
      <c r="BE157" t="s">
        <v>2545</v>
      </c>
      <c r="BF157" t="str">
        <f>HYPERLINK("http://dx.doi.org/10.1675/1524-4695(2003)026[0338:STTAAT]2.0.CO;2","http://dx.doi.org/10.1675/1524-4695(2003)026[0338:STTAAT]2.0.CO;2")</f>
        <v>http://dx.doi.org/10.1675/1524-4695(2003)026[0338:STTAAT]2.0.CO;2</v>
      </c>
      <c r="BG157" t="s">
        <v>74</v>
      </c>
      <c r="BH157" t="s">
        <v>74</v>
      </c>
      <c r="BI157">
        <v>7</v>
      </c>
      <c r="BJ157" t="s">
        <v>2546</v>
      </c>
      <c r="BK157" t="s">
        <v>94</v>
      </c>
      <c r="BL157" t="s">
        <v>258</v>
      </c>
      <c r="BM157" t="s">
        <v>2547</v>
      </c>
      <c r="BN157" t="s">
        <v>74</v>
      </c>
      <c r="BO157" t="s">
        <v>74</v>
      </c>
      <c r="BP157" t="s">
        <v>74</v>
      </c>
      <c r="BQ157" t="s">
        <v>74</v>
      </c>
      <c r="BR157" t="s">
        <v>97</v>
      </c>
      <c r="BS157" t="s">
        <v>2548</v>
      </c>
      <c r="BT157" t="str">
        <f>HYPERLINK("https%3A%2F%2Fwww.webofscience.com%2Fwos%2Fwoscc%2Ffull-record%2FWOS:000185869100011","View Full Record in Web of Science")</f>
        <v>View Full Record in Web of Science</v>
      </c>
    </row>
    <row r="158" spans="1:72" x14ac:dyDescent="0.15">
      <c r="A158" t="s">
        <v>72</v>
      </c>
      <c r="B158" t="s">
        <v>2549</v>
      </c>
      <c r="C158" t="s">
        <v>74</v>
      </c>
      <c r="D158" t="s">
        <v>74</v>
      </c>
      <c r="E158" t="s">
        <v>74</v>
      </c>
      <c r="F158" t="s">
        <v>2549</v>
      </c>
      <c r="G158" t="s">
        <v>74</v>
      </c>
      <c r="H158" t="s">
        <v>74</v>
      </c>
      <c r="I158" t="s">
        <v>2550</v>
      </c>
      <c r="J158" t="s">
        <v>2551</v>
      </c>
      <c r="K158" t="s">
        <v>74</v>
      </c>
      <c r="L158" t="s">
        <v>74</v>
      </c>
      <c r="M158" t="s">
        <v>77</v>
      </c>
      <c r="N158" t="s">
        <v>78</v>
      </c>
      <c r="O158" t="s">
        <v>74</v>
      </c>
      <c r="P158" t="s">
        <v>74</v>
      </c>
      <c r="Q158" t="s">
        <v>74</v>
      </c>
      <c r="R158" t="s">
        <v>74</v>
      </c>
      <c r="S158" t="s">
        <v>74</v>
      </c>
      <c r="T158" t="s">
        <v>74</v>
      </c>
      <c r="U158" t="s">
        <v>2552</v>
      </c>
      <c r="V158" t="s">
        <v>2553</v>
      </c>
      <c r="W158" t="s">
        <v>2554</v>
      </c>
      <c r="X158" t="s">
        <v>2555</v>
      </c>
      <c r="Y158" t="s">
        <v>2556</v>
      </c>
      <c r="Z158" t="s">
        <v>2557</v>
      </c>
      <c r="AA158" t="s">
        <v>74</v>
      </c>
      <c r="AB158" t="s">
        <v>74</v>
      </c>
      <c r="AC158" t="s">
        <v>74</v>
      </c>
      <c r="AD158" t="s">
        <v>74</v>
      </c>
      <c r="AE158" t="s">
        <v>74</v>
      </c>
      <c r="AF158" t="s">
        <v>74</v>
      </c>
      <c r="AG158">
        <v>41</v>
      </c>
      <c r="AH158">
        <v>28</v>
      </c>
      <c r="AI158">
        <v>32</v>
      </c>
      <c r="AJ158">
        <v>0</v>
      </c>
      <c r="AK158">
        <v>3</v>
      </c>
      <c r="AL158" t="s">
        <v>2558</v>
      </c>
      <c r="AM158" t="s">
        <v>2151</v>
      </c>
      <c r="AN158" t="s">
        <v>2559</v>
      </c>
      <c r="AO158" t="s">
        <v>2560</v>
      </c>
      <c r="AP158" t="s">
        <v>74</v>
      </c>
      <c r="AQ158" t="s">
        <v>74</v>
      </c>
      <c r="AR158" t="s">
        <v>2561</v>
      </c>
      <c r="AS158" t="s">
        <v>2562</v>
      </c>
      <c r="AT158" t="s">
        <v>1120</v>
      </c>
      <c r="AU158">
        <v>2003</v>
      </c>
      <c r="AV158">
        <v>115</v>
      </c>
      <c r="AW158">
        <v>3</v>
      </c>
      <c r="AX158" t="s">
        <v>74</v>
      </c>
      <c r="AY158" t="s">
        <v>74</v>
      </c>
      <c r="AZ158" t="s">
        <v>74</v>
      </c>
      <c r="BA158" t="s">
        <v>74</v>
      </c>
      <c r="BB158">
        <v>307</v>
      </c>
      <c r="BC158">
        <v>315</v>
      </c>
      <c r="BD158" t="s">
        <v>74</v>
      </c>
      <c r="BE158" t="s">
        <v>2563</v>
      </c>
      <c r="BF158" t="str">
        <f>HYPERLINK("http://dx.doi.org/10.1676/02-119","http://dx.doi.org/10.1676/02-119")</f>
        <v>http://dx.doi.org/10.1676/02-119</v>
      </c>
      <c r="BG158" t="s">
        <v>74</v>
      </c>
      <c r="BH158" t="s">
        <v>74</v>
      </c>
      <c r="BI158">
        <v>9</v>
      </c>
      <c r="BJ158" t="s">
        <v>2546</v>
      </c>
      <c r="BK158" t="s">
        <v>94</v>
      </c>
      <c r="BL158" t="s">
        <v>258</v>
      </c>
      <c r="BM158" t="s">
        <v>2564</v>
      </c>
      <c r="BN158" t="s">
        <v>74</v>
      </c>
      <c r="BO158" t="s">
        <v>2565</v>
      </c>
      <c r="BP158" t="s">
        <v>74</v>
      </c>
      <c r="BQ158" t="s">
        <v>74</v>
      </c>
      <c r="BR158" t="s">
        <v>97</v>
      </c>
      <c r="BS158" t="s">
        <v>2566</v>
      </c>
      <c r="BT158" t="str">
        <f>HYPERLINK("https%3A%2F%2Fwww.webofscience.com%2Fwos%2Fwoscc%2Ffull-record%2FWOS:000220461900013","View Full Record in Web of Science")</f>
        <v>View Full Record in Web of Science</v>
      </c>
    </row>
    <row r="159" spans="1:72" x14ac:dyDescent="0.15">
      <c r="A159" t="s">
        <v>72</v>
      </c>
      <c r="B159" t="s">
        <v>2567</v>
      </c>
      <c r="C159" t="s">
        <v>74</v>
      </c>
      <c r="D159" t="s">
        <v>74</v>
      </c>
      <c r="E159" t="s">
        <v>74</v>
      </c>
      <c r="F159" t="s">
        <v>2567</v>
      </c>
      <c r="G159" t="s">
        <v>74</v>
      </c>
      <c r="H159" t="s">
        <v>74</v>
      </c>
      <c r="I159" t="s">
        <v>2568</v>
      </c>
      <c r="J159" t="s">
        <v>2569</v>
      </c>
      <c r="K159" t="s">
        <v>74</v>
      </c>
      <c r="L159" t="s">
        <v>74</v>
      </c>
      <c r="M159" t="s">
        <v>77</v>
      </c>
      <c r="N159" t="s">
        <v>78</v>
      </c>
      <c r="O159" t="s">
        <v>74</v>
      </c>
      <c r="P159" t="s">
        <v>74</v>
      </c>
      <c r="Q159" t="s">
        <v>74</v>
      </c>
      <c r="R159" t="s">
        <v>74</v>
      </c>
      <c r="S159" t="s">
        <v>74</v>
      </c>
      <c r="T159" t="s">
        <v>2570</v>
      </c>
      <c r="U159" t="s">
        <v>2571</v>
      </c>
      <c r="V159" t="s">
        <v>2572</v>
      </c>
      <c r="W159" t="s">
        <v>2573</v>
      </c>
      <c r="X159" t="s">
        <v>2574</v>
      </c>
      <c r="Y159" t="s">
        <v>2575</v>
      </c>
      <c r="Z159" t="s">
        <v>2576</v>
      </c>
      <c r="AA159" t="s">
        <v>2577</v>
      </c>
      <c r="AB159" t="s">
        <v>2578</v>
      </c>
      <c r="AC159" t="s">
        <v>74</v>
      </c>
      <c r="AD159" t="s">
        <v>74</v>
      </c>
      <c r="AE159" t="s">
        <v>74</v>
      </c>
      <c r="AF159" t="s">
        <v>74</v>
      </c>
      <c r="AG159">
        <v>29</v>
      </c>
      <c r="AH159">
        <v>22</v>
      </c>
      <c r="AI159">
        <v>25</v>
      </c>
      <c r="AJ159">
        <v>5</v>
      </c>
      <c r="AK159">
        <v>62</v>
      </c>
      <c r="AL159" t="s">
        <v>188</v>
      </c>
      <c r="AM159" t="s">
        <v>170</v>
      </c>
      <c r="AN159" t="s">
        <v>189</v>
      </c>
      <c r="AO159" t="s">
        <v>2579</v>
      </c>
      <c r="AP159" t="s">
        <v>2580</v>
      </c>
      <c r="AQ159" t="s">
        <v>74</v>
      </c>
      <c r="AR159" t="s">
        <v>2581</v>
      </c>
      <c r="AS159" t="s">
        <v>2582</v>
      </c>
      <c r="AT159" t="s">
        <v>1120</v>
      </c>
      <c r="AU159">
        <v>2003</v>
      </c>
      <c r="AV159">
        <v>139</v>
      </c>
      <c r="AW159">
        <v>1</v>
      </c>
      <c r="AX159" t="s">
        <v>74</v>
      </c>
      <c r="AY159" t="s">
        <v>74</v>
      </c>
      <c r="AZ159" t="s">
        <v>74</v>
      </c>
      <c r="BA159" t="s">
        <v>74</v>
      </c>
      <c r="BB159">
        <v>93</v>
      </c>
      <c r="BC159">
        <v>127</v>
      </c>
      <c r="BD159" t="s">
        <v>74</v>
      </c>
      <c r="BE159" t="s">
        <v>2583</v>
      </c>
      <c r="BF159" t="str">
        <f>HYPERLINK("http://dx.doi.org/10.1046/j.1096-3642.2003.00074.x","http://dx.doi.org/10.1046/j.1096-3642.2003.00074.x")</f>
        <v>http://dx.doi.org/10.1046/j.1096-3642.2003.00074.x</v>
      </c>
      <c r="BG159" t="s">
        <v>74</v>
      </c>
      <c r="BH159" t="s">
        <v>74</v>
      </c>
      <c r="BI159">
        <v>35</v>
      </c>
      <c r="BJ159" t="s">
        <v>258</v>
      </c>
      <c r="BK159" t="s">
        <v>94</v>
      </c>
      <c r="BL159" t="s">
        <v>258</v>
      </c>
      <c r="BM159" t="s">
        <v>2584</v>
      </c>
      <c r="BN159" t="s">
        <v>74</v>
      </c>
      <c r="BO159" t="s">
        <v>2585</v>
      </c>
      <c r="BP159" t="s">
        <v>74</v>
      </c>
      <c r="BQ159" t="s">
        <v>74</v>
      </c>
      <c r="BR159" t="s">
        <v>97</v>
      </c>
      <c r="BS159" t="s">
        <v>2586</v>
      </c>
      <c r="BT159" t="str">
        <f>HYPERLINK("https%3A%2F%2Fwww.webofscience.com%2Fwos%2Fwoscc%2Ffull-record%2FWOS:000188840200004","View Full Record in Web of Science")</f>
        <v>View Full Record in Web of Science</v>
      </c>
    </row>
    <row r="160" spans="1:72" x14ac:dyDescent="0.15">
      <c r="A160" t="s">
        <v>72</v>
      </c>
      <c r="B160" t="s">
        <v>2587</v>
      </c>
      <c r="C160" t="s">
        <v>74</v>
      </c>
      <c r="D160" t="s">
        <v>74</v>
      </c>
      <c r="E160" t="s">
        <v>74</v>
      </c>
      <c r="F160" t="s">
        <v>2587</v>
      </c>
      <c r="G160" t="s">
        <v>74</v>
      </c>
      <c r="H160" t="s">
        <v>74</v>
      </c>
      <c r="I160" t="s">
        <v>2588</v>
      </c>
      <c r="J160" t="s">
        <v>530</v>
      </c>
      <c r="K160" t="s">
        <v>74</v>
      </c>
      <c r="L160" t="s">
        <v>74</v>
      </c>
      <c r="M160" t="s">
        <v>77</v>
      </c>
      <c r="N160" t="s">
        <v>78</v>
      </c>
      <c r="O160" t="s">
        <v>74</v>
      </c>
      <c r="P160" t="s">
        <v>74</v>
      </c>
      <c r="Q160" t="s">
        <v>74</v>
      </c>
      <c r="R160" t="s">
        <v>74</v>
      </c>
      <c r="S160" t="s">
        <v>74</v>
      </c>
      <c r="T160" t="s">
        <v>74</v>
      </c>
      <c r="U160" t="s">
        <v>2589</v>
      </c>
      <c r="V160" t="s">
        <v>2590</v>
      </c>
      <c r="W160" t="s">
        <v>2591</v>
      </c>
      <c r="X160" t="s">
        <v>2592</v>
      </c>
      <c r="Y160" t="s">
        <v>2593</v>
      </c>
      <c r="Z160" t="s">
        <v>2594</v>
      </c>
      <c r="AA160" t="s">
        <v>2595</v>
      </c>
      <c r="AB160" t="s">
        <v>2596</v>
      </c>
      <c r="AC160" t="s">
        <v>74</v>
      </c>
      <c r="AD160" t="s">
        <v>74</v>
      </c>
      <c r="AE160" t="s">
        <v>74</v>
      </c>
      <c r="AF160" t="s">
        <v>74</v>
      </c>
      <c r="AG160">
        <v>32</v>
      </c>
      <c r="AH160">
        <v>266</v>
      </c>
      <c r="AI160">
        <v>285</v>
      </c>
      <c r="AJ160">
        <v>0</v>
      </c>
      <c r="AK160">
        <v>10</v>
      </c>
      <c r="AL160" t="s">
        <v>539</v>
      </c>
      <c r="AM160" t="s">
        <v>540</v>
      </c>
      <c r="AN160" t="s">
        <v>541</v>
      </c>
      <c r="AO160" t="s">
        <v>542</v>
      </c>
      <c r="AP160" t="s">
        <v>543</v>
      </c>
      <c r="AQ160" t="s">
        <v>74</v>
      </c>
      <c r="AR160" t="s">
        <v>544</v>
      </c>
      <c r="AS160" t="s">
        <v>545</v>
      </c>
      <c r="AT160" t="s">
        <v>2597</v>
      </c>
      <c r="AU160">
        <v>2003</v>
      </c>
      <c r="AV160">
        <v>30</v>
      </c>
      <c r="AW160">
        <v>16</v>
      </c>
      <c r="AX160" t="s">
        <v>74</v>
      </c>
      <c r="AY160" t="s">
        <v>74</v>
      </c>
      <c r="AZ160" t="s">
        <v>74</v>
      </c>
      <c r="BA160" t="s">
        <v>74</v>
      </c>
      <c r="BB160" t="s">
        <v>74</v>
      </c>
      <c r="BC160" t="s">
        <v>74</v>
      </c>
      <c r="BD160">
        <v>1871</v>
      </c>
      <c r="BE160" t="s">
        <v>2598</v>
      </c>
      <c r="BF160" t="str">
        <f>HYPERLINK("http://dx.doi.org/10.1029/2003GL017698","http://dx.doi.org/10.1029/2003GL017698")</f>
        <v>http://dx.doi.org/10.1029/2003GL017698</v>
      </c>
      <c r="BG160" t="s">
        <v>74</v>
      </c>
      <c r="BH160" t="s">
        <v>74</v>
      </c>
      <c r="BI160">
        <v>4</v>
      </c>
      <c r="BJ160" t="s">
        <v>548</v>
      </c>
      <c r="BK160" t="s">
        <v>94</v>
      </c>
      <c r="BL160" t="s">
        <v>549</v>
      </c>
      <c r="BM160" t="s">
        <v>2599</v>
      </c>
      <c r="BN160" t="s">
        <v>74</v>
      </c>
      <c r="BO160" t="s">
        <v>96</v>
      </c>
      <c r="BP160" t="s">
        <v>74</v>
      </c>
      <c r="BQ160" t="s">
        <v>74</v>
      </c>
      <c r="BR160" t="s">
        <v>97</v>
      </c>
      <c r="BS160" t="s">
        <v>2600</v>
      </c>
      <c r="BT160" t="str">
        <f>HYPERLINK("https%3A%2F%2Fwww.webofscience.com%2Fwos%2Fwoscc%2Ffull-record%2FWOS:000185250700004","View Full Record in Web of Science")</f>
        <v>View Full Record in Web of Science</v>
      </c>
    </row>
    <row r="161" spans="1:72" x14ac:dyDescent="0.15">
      <c r="A161" t="s">
        <v>72</v>
      </c>
      <c r="B161" t="s">
        <v>2601</v>
      </c>
      <c r="C161" t="s">
        <v>74</v>
      </c>
      <c r="D161" t="s">
        <v>74</v>
      </c>
      <c r="E161" t="s">
        <v>74</v>
      </c>
      <c r="F161" t="s">
        <v>2601</v>
      </c>
      <c r="G161" t="s">
        <v>74</v>
      </c>
      <c r="H161" t="s">
        <v>74</v>
      </c>
      <c r="I161" t="s">
        <v>2602</v>
      </c>
      <c r="J161" t="s">
        <v>530</v>
      </c>
      <c r="K161" t="s">
        <v>74</v>
      </c>
      <c r="L161" t="s">
        <v>74</v>
      </c>
      <c r="M161" t="s">
        <v>77</v>
      </c>
      <c r="N161" t="s">
        <v>78</v>
      </c>
      <c r="O161" t="s">
        <v>74</v>
      </c>
      <c r="P161" t="s">
        <v>74</v>
      </c>
      <c r="Q161" t="s">
        <v>74</v>
      </c>
      <c r="R161" t="s">
        <v>74</v>
      </c>
      <c r="S161" t="s">
        <v>74</v>
      </c>
      <c r="T161" t="s">
        <v>74</v>
      </c>
      <c r="U161" t="s">
        <v>2603</v>
      </c>
      <c r="V161" t="s">
        <v>2604</v>
      </c>
      <c r="W161" t="s">
        <v>2605</v>
      </c>
      <c r="X161" t="s">
        <v>2606</v>
      </c>
      <c r="Y161" t="s">
        <v>2607</v>
      </c>
      <c r="Z161" t="s">
        <v>2608</v>
      </c>
      <c r="AA161" t="s">
        <v>2609</v>
      </c>
      <c r="AB161" t="s">
        <v>2610</v>
      </c>
      <c r="AC161" t="s">
        <v>74</v>
      </c>
      <c r="AD161" t="s">
        <v>74</v>
      </c>
      <c r="AE161" t="s">
        <v>74</v>
      </c>
      <c r="AF161" t="s">
        <v>74</v>
      </c>
      <c r="AG161">
        <v>13</v>
      </c>
      <c r="AH161">
        <v>43</v>
      </c>
      <c r="AI161">
        <v>45</v>
      </c>
      <c r="AJ161">
        <v>0</v>
      </c>
      <c r="AK161">
        <v>3</v>
      </c>
      <c r="AL161" t="s">
        <v>539</v>
      </c>
      <c r="AM161" t="s">
        <v>540</v>
      </c>
      <c r="AN161" t="s">
        <v>541</v>
      </c>
      <c r="AO161" t="s">
        <v>542</v>
      </c>
      <c r="AP161" t="s">
        <v>543</v>
      </c>
      <c r="AQ161" t="s">
        <v>74</v>
      </c>
      <c r="AR161" t="s">
        <v>544</v>
      </c>
      <c r="AS161" t="s">
        <v>545</v>
      </c>
      <c r="AT161" t="s">
        <v>2597</v>
      </c>
      <c r="AU161">
        <v>2003</v>
      </c>
      <c r="AV161">
        <v>30</v>
      </c>
      <c r="AW161">
        <v>16</v>
      </c>
      <c r="AX161" t="s">
        <v>74</v>
      </c>
      <c r="AY161" t="s">
        <v>74</v>
      </c>
      <c r="AZ161" t="s">
        <v>74</v>
      </c>
      <c r="BA161" t="s">
        <v>74</v>
      </c>
      <c r="BB161" t="s">
        <v>74</v>
      </c>
      <c r="BC161" t="s">
        <v>74</v>
      </c>
      <c r="BD161">
        <v>1875</v>
      </c>
      <c r="BE161" t="s">
        <v>2611</v>
      </c>
      <c r="BF161" t="str">
        <f>HYPERLINK("http://dx.doi.org/10.1029/2003GL017231","http://dx.doi.org/10.1029/2003GL017231")</f>
        <v>http://dx.doi.org/10.1029/2003GL017231</v>
      </c>
      <c r="BG161" t="s">
        <v>74</v>
      </c>
      <c r="BH161" t="s">
        <v>74</v>
      </c>
      <c r="BI161">
        <v>4</v>
      </c>
      <c r="BJ161" t="s">
        <v>548</v>
      </c>
      <c r="BK161" t="s">
        <v>94</v>
      </c>
      <c r="BL161" t="s">
        <v>549</v>
      </c>
      <c r="BM161" t="s">
        <v>2599</v>
      </c>
      <c r="BN161" t="s">
        <v>74</v>
      </c>
      <c r="BO161" t="s">
        <v>154</v>
      </c>
      <c r="BP161" t="s">
        <v>74</v>
      </c>
      <c r="BQ161" t="s">
        <v>74</v>
      </c>
      <c r="BR161" t="s">
        <v>97</v>
      </c>
      <c r="BS161" t="s">
        <v>2612</v>
      </c>
      <c r="BT161" t="str">
        <f>HYPERLINK("https%3A%2F%2Fwww.webofscience.com%2Fwos%2Fwoscc%2Ffull-record%2FWOS:000185250700002","View Full Record in Web of Science")</f>
        <v>View Full Record in Web of Science</v>
      </c>
    </row>
    <row r="162" spans="1:72" x14ac:dyDescent="0.15">
      <c r="A162" t="s">
        <v>72</v>
      </c>
      <c r="B162" t="s">
        <v>2613</v>
      </c>
      <c r="C162" t="s">
        <v>74</v>
      </c>
      <c r="D162" t="s">
        <v>74</v>
      </c>
      <c r="E162" t="s">
        <v>74</v>
      </c>
      <c r="F162" t="s">
        <v>2613</v>
      </c>
      <c r="G162" t="s">
        <v>74</v>
      </c>
      <c r="H162" t="s">
        <v>74</v>
      </c>
      <c r="I162" t="s">
        <v>2614</v>
      </c>
      <c r="J162" t="s">
        <v>578</v>
      </c>
      <c r="K162" t="s">
        <v>74</v>
      </c>
      <c r="L162" t="s">
        <v>74</v>
      </c>
      <c r="M162" t="s">
        <v>77</v>
      </c>
      <c r="N162" t="s">
        <v>78</v>
      </c>
      <c r="O162" t="s">
        <v>74</v>
      </c>
      <c r="P162" t="s">
        <v>74</v>
      </c>
      <c r="Q162" t="s">
        <v>74</v>
      </c>
      <c r="R162" t="s">
        <v>74</v>
      </c>
      <c r="S162" t="s">
        <v>74</v>
      </c>
      <c r="T162" t="s">
        <v>2615</v>
      </c>
      <c r="U162" t="s">
        <v>2616</v>
      </c>
      <c r="V162" t="s">
        <v>2617</v>
      </c>
      <c r="W162" t="s">
        <v>2618</v>
      </c>
      <c r="X162" t="s">
        <v>2619</v>
      </c>
      <c r="Y162" t="s">
        <v>2620</v>
      </c>
      <c r="Z162" t="s">
        <v>2621</v>
      </c>
      <c r="AA162" t="s">
        <v>74</v>
      </c>
      <c r="AB162" t="s">
        <v>74</v>
      </c>
      <c r="AC162" t="s">
        <v>74</v>
      </c>
      <c r="AD162" t="s">
        <v>74</v>
      </c>
      <c r="AE162" t="s">
        <v>74</v>
      </c>
      <c r="AF162" t="s">
        <v>74</v>
      </c>
      <c r="AG162">
        <v>36</v>
      </c>
      <c r="AH162">
        <v>61</v>
      </c>
      <c r="AI162">
        <v>65</v>
      </c>
      <c r="AJ162">
        <v>1</v>
      </c>
      <c r="AK162">
        <v>27</v>
      </c>
      <c r="AL162" t="s">
        <v>539</v>
      </c>
      <c r="AM162" t="s">
        <v>540</v>
      </c>
      <c r="AN162" t="s">
        <v>541</v>
      </c>
      <c r="AO162" t="s">
        <v>588</v>
      </c>
      <c r="AP162" t="s">
        <v>74</v>
      </c>
      <c r="AQ162" t="s">
        <v>74</v>
      </c>
      <c r="AR162" t="s">
        <v>589</v>
      </c>
      <c r="AS162" t="s">
        <v>590</v>
      </c>
      <c r="AT162" t="s">
        <v>2597</v>
      </c>
      <c r="AU162">
        <v>2003</v>
      </c>
      <c r="AV162">
        <v>108</v>
      </c>
      <c r="AW162" t="s">
        <v>2622</v>
      </c>
      <c r="AX162" t="s">
        <v>74</v>
      </c>
      <c r="AY162" t="s">
        <v>74</v>
      </c>
      <c r="AZ162" t="s">
        <v>74</v>
      </c>
      <c r="BA162" t="s">
        <v>74</v>
      </c>
      <c r="BB162" t="s">
        <v>74</v>
      </c>
      <c r="BC162" t="s">
        <v>74</v>
      </c>
      <c r="BD162">
        <v>4524</v>
      </c>
      <c r="BE162" t="s">
        <v>2623</v>
      </c>
      <c r="BF162" t="str">
        <f>HYPERLINK("http://dx.doi.org/10.1029/2003JD003660","http://dx.doi.org/10.1029/2003JD003660")</f>
        <v>http://dx.doi.org/10.1029/2003JD003660</v>
      </c>
      <c r="BG162" t="s">
        <v>74</v>
      </c>
      <c r="BH162" t="s">
        <v>74</v>
      </c>
      <c r="BI162">
        <v>7</v>
      </c>
      <c r="BJ162" t="s">
        <v>93</v>
      </c>
      <c r="BK162" t="s">
        <v>94</v>
      </c>
      <c r="BL162" t="s">
        <v>93</v>
      </c>
      <c r="BM162" t="s">
        <v>2624</v>
      </c>
      <c r="BN162" t="s">
        <v>74</v>
      </c>
      <c r="BO162" t="s">
        <v>96</v>
      </c>
      <c r="BP162" t="s">
        <v>74</v>
      </c>
      <c r="BQ162" t="s">
        <v>74</v>
      </c>
      <c r="BR162" t="s">
        <v>97</v>
      </c>
      <c r="BS162" t="s">
        <v>2625</v>
      </c>
      <c r="BT162" t="str">
        <f>HYPERLINK("https%3A%2F%2Fwww.webofscience.com%2Fwos%2Fwoscc%2Ffull-record%2FWOS:000185252000004","View Full Record in Web of Science")</f>
        <v>View Full Record in Web of Science</v>
      </c>
    </row>
    <row r="163" spans="1:72" x14ac:dyDescent="0.15">
      <c r="A163" t="s">
        <v>72</v>
      </c>
      <c r="B163" t="s">
        <v>2626</v>
      </c>
      <c r="C163" t="s">
        <v>74</v>
      </c>
      <c r="D163" t="s">
        <v>74</v>
      </c>
      <c r="E163" t="s">
        <v>74</v>
      </c>
      <c r="F163" t="s">
        <v>2626</v>
      </c>
      <c r="G163" t="s">
        <v>74</v>
      </c>
      <c r="H163" t="s">
        <v>74</v>
      </c>
      <c r="I163" t="s">
        <v>2627</v>
      </c>
      <c r="J163" t="s">
        <v>578</v>
      </c>
      <c r="K163" t="s">
        <v>74</v>
      </c>
      <c r="L163" t="s">
        <v>74</v>
      </c>
      <c r="M163" t="s">
        <v>77</v>
      </c>
      <c r="N163" t="s">
        <v>78</v>
      </c>
      <c r="O163" t="s">
        <v>74</v>
      </c>
      <c r="P163" t="s">
        <v>74</v>
      </c>
      <c r="Q163" t="s">
        <v>74</v>
      </c>
      <c r="R163" t="s">
        <v>74</v>
      </c>
      <c r="S163" t="s">
        <v>74</v>
      </c>
      <c r="T163" t="s">
        <v>2628</v>
      </c>
      <c r="U163" t="s">
        <v>2629</v>
      </c>
      <c r="V163" t="s">
        <v>2630</v>
      </c>
      <c r="W163" t="s">
        <v>2631</v>
      </c>
      <c r="X163" t="s">
        <v>2632</v>
      </c>
      <c r="Y163" t="s">
        <v>74</v>
      </c>
      <c r="Z163" t="s">
        <v>2633</v>
      </c>
      <c r="AA163" t="s">
        <v>2634</v>
      </c>
      <c r="AB163" t="s">
        <v>2635</v>
      </c>
      <c r="AC163" t="s">
        <v>74</v>
      </c>
      <c r="AD163" t="s">
        <v>74</v>
      </c>
      <c r="AE163" t="s">
        <v>74</v>
      </c>
      <c r="AF163" t="s">
        <v>74</v>
      </c>
      <c r="AG163">
        <v>27</v>
      </c>
      <c r="AH163">
        <v>55</v>
      </c>
      <c r="AI163">
        <v>62</v>
      </c>
      <c r="AJ163">
        <v>0</v>
      </c>
      <c r="AK163">
        <v>16</v>
      </c>
      <c r="AL163" t="s">
        <v>539</v>
      </c>
      <c r="AM163" t="s">
        <v>540</v>
      </c>
      <c r="AN163" t="s">
        <v>541</v>
      </c>
      <c r="AO163" t="s">
        <v>588</v>
      </c>
      <c r="AP163" t="s">
        <v>605</v>
      </c>
      <c r="AQ163" t="s">
        <v>74</v>
      </c>
      <c r="AR163" t="s">
        <v>589</v>
      </c>
      <c r="AS163" t="s">
        <v>590</v>
      </c>
      <c r="AT163" t="s">
        <v>2597</v>
      </c>
      <c r="AU163">
        <v>2003</v>
      </c>
      <c r="AV163">
        <v>108</v>
      </c>
      <c r="AW163" t="s">
        <v>2622</v>
      </c>
      <c r="AX163" t="s">
        <v>74</v>
      </c>
      <c r="AY163" t="s">
        <v>74</v>
      </c>
      <c r="AZ163" t="s">
        <v>74</v>
      </c>
      <c r="BA163" t="s">
        <v>74</v>
      </c>
      <c r="BB163" t="s">
        <v>74</v>
      </c>
      <c r="BC163" t="s">
        <v>74</v>
      </c>
      <c r="BD163">
        <v>4526</v>
      </c>
      <c r="BE163" t="s">
        <v>2636</v>
      </c>
      <c r="BF163" t="str">
        <f>HYPERLINK("http://dx.doi.org/10.1029/2003JD003604","http://dx.doi.org/10.1029/2003JD003604")</f>
        <v>http://dx.doi.org/10.1029/2003JD003604</v>
      </c>
      <c r="BG163" t="s">
        <v>74</v>
      </c>
      <c r="BH163" t="s">
        <v>74</v>
      </c>
      <c r="BI163">
        <v>6</v>
      </c>
      <c r="BJ163" t="s">
        <v>93</v>
      </c>
      <c r="BK163" t="s">
        <v>94</v>
      </c>
      <c r="BL163" t="s">
        <v>93</v>
      </c>
      <c r="BM163" t="s">
        <v>2624</v>
      </c>
      <c r="BN163" t="s">
        <v>74</v>
      </c>
      <c r="BO163" t="s">
        <v>154</v>
      </c>
      <c r="BP163" t="s">
        <v>74</v>
      </c>
      <c r="BQ163" t="s">
        <v>74</v>
      </c>
      <c r="BR163" t="s">
        <v>97</v>
      </c>
      <c r="BS163" t="s">
        <v>2637</v>
      </c>
      <c r="BT163" t="str">
        <f>HYPERLINK("https%3A%2F%2Fwww.webofscience.com%2Fwos%2Fwoscc%2Ffull-record%2FWOS:000185252000003","View Full Record in Web of Science")</f>
        <v>View Full Record in Web of Science</v>
      </c>
    </row>
    <row r="164" spans="1:72" x14ac:dyDescent="0.15">
      <c r="A164" t="s">
        <v>72</v>
      </c>
      <c r="B164" t="s">
        <v>2638</v>
      </c>
      <c r="C164" t="s">
        <v>74</v>
      </c>
      <c r="D164" t="s">
        <v>74</v>
      </c>
      <c r="E164" t="s">
        <v>74</v>
      </c>
      <c r="F164" t="s">
        <v>2638</v>
      </c>
      <c r="G164" t="s">
        <v>74</v>
      </c>
      <c r="H164" t="s">
        <v>74</v>
      </c>
      <c r="I164" t="s">
        <v>2639</v>
      </c>
      <c r="J164" t="s">
        <v>578</v>
      </c>
      <c r="K164" t="s">
        <v>74</v>
      </c>
      <c r="L164" t="s">
        <v>74</v>
      </c>
      <c r="M164" t="s">
        <v>77</v>
      </c>
      <c r="N164" t="s">
        <v>78</v>
      </c>
      <c r="O164" t="s">
        <v>74</v>
      </c>
      <c r="P164" t="s">
        <v>74</v>
      </c>
      <c r="Q164" t="s">
        <v>74</v>
      </c>
      <c r="R164" t="s">
        <v>74</v>
      </c>
      <c r="S164" t="s">
        <v>74</v>
      </c>
      <c r="T164" t="s">
        <v>2640</v>
      </c>
      <c r="U164" t="s">
        <v>2641</v>
      </c>
      <c r="V164" t="s">
        <v>2642</v>
      </c>
      <c r="W164" t="s">
        <v>2643</v>
      </c>
      <c r="X164" t="s">
        <v>2644</v>
      </c>
      <c r="Y164" t="s">
        <v>2645</v>
      </c>
      <c r="Z164" t="s">
        <v>2646</v>
      </c>
      <c r="AA164" t="s">
        <v>2647</v>
      </c>
      <c r="AB164" t="s">
        <v>2648</v>
      </c>
      <c r="AC164" t="s">
        <v>74</v>
      </c>
      <c r="AD164" t="s">
        <v>74</v>
      </c>
      <c r="AE164" t="s">
        <v>74</v>
      </c>
      <c r="AF164" t="s">
        <v>74</v>
      </c>
      <c r="AG164">
        <v>68</v>
      </c>
      <c r="AH164">
        <v>22</v>
      </c>
      <c r="AI164">
        <v>23</v>
      </c>
      <c r="AJ164">
        <v>1</v>
      </c>
      <c r="AK164">
        <v>13</v>
      </c>
      <c r="AL164" t="s">
        <v>539</v>
      </c>
      <c r="AM164" t="s">
        <v>540</v>
      </c>
      <c r="AN164" t="s">
        <v>541</v>
      </c>
      <c r="AO164" t="s">
        <v>588</v>
      </c>
      <c r="AP164" t="s">
        <v>605</v>
      </c>
      <c r="AQ164" t="s">
        <v>74</v>
      </c>
      <c r="AR164" t="s">
        <v>589</v>
      </c>
      <c r="AS164" t="s">
        <v>590</v>
      </c>
      <c r="AT164" t="s">
        <v>2649</v>
      </c>
      <c r="AU164">
        <v>2003</v>
      </c>
      <c r="AV164">
        <v>108</v>
      </c>
      <c r="AW164" t="s">
        <v>2622</v>
      </c>
      <c r="AX164" t="s">
        <v>74</v>
      </c>
      <c r="AY164" t="s">
        <v>74</v>
      </c>
      <c r="AZ164" t="s">
        <v>74</v>
      </c>
      <c r="BA164" t="s">
        <v>74</v>
      </c>
      <c r="BB164" t="s">
        <v>74</v>
      </c>
      <c r="BC164" t="s">
        <v>74</v>
      </c>
      <c r="BD164">
        <v>8003</v>
      </c>
      <c r="BE164" t="s">
        <v>2650</v>
      </c>
      <c r="BF164" t="str">
        <f>HYPERLINK("http://dx.doi.org/10.1029/2002JD002458","http://dx.doi.org/10.1029/2002JD002458")</f>
        <v>http://dx.doi.org/10.1029/2002JD002458</v>
      </c>
      <c r="BG164" t="s">
        <v>74</v>
      </c>
      <c r="BH164" t="s">
        <v>74</v>
      </c>
      <c r="BI164">
        <v>35</v>
      </c>
      <c r="BJ164" t="s">
        <v>93</v>
      </c>
      <c r="BK164" t="s">
        <v>94</v>
      </c>
      <c r="BL164" t="s">
        <v>93</v>
      </c>
      <c r="BM164" t="s">
        <v>2651</v>
      </c>
      <c r="BN164" t="s">
        <v>74</v>
      </c>
      <c r="BO164" t="s">
        <v>96</v>
      </c>
      <c r="BP164" t="s">
        <v>74</v>
      </c>
      <c r="BQ164" t="s">
        <v>74</v>
      </c>
      <c r="BR164" t="s">
        <v>97</v>
      </c>
      <c r="BS164" t="s">
        <v>2652</v>
      </c>
      <c r="BT164" t="str">
        <f>HYPERLINK("https%3A%2F%2Fwww.webofscience.com%2Fwos%2Fwoscc%2Ffull-record%2FWOS:000185251500001","View Full Record in Web of Science")</f>
        <v>View Full Record in Web of Science</v>
      </c>
    </row>
    <row r="165" spans="1:72" x14ac:dyDescent="0.15">
      <c r="A165" t="s">
        <v>72</v>
      </c>
      <c r="B165" t="s">
        <v>2653</v>
      </c>
      <c r="C165" t="s">
        <v>74</v>
      </c>
      <c r="D165" t="s">
        <v>74</v>
      </c>
      <c r="E165" t="s">
        <v>74</v>
      </c>
      <c r="F165" t="s">
        <v>2653</v>
      </c>
      <c r="G165" t="s">
        <v>74</v>
      </c>
      <c r="H165" t="s">
        <v>74</v>
      </c>
      <c r="I165" t="s">
        <v>2654</v>
      </c>
      <c r="J165" t="s">
        <v>1033</v>
      </c>
      <c r="K165" t="s">
        <v>74</v>
      </c>
      <c r="L165" t="s">
        <v>74</v>
      </c>
      <c r="M165" t="s">
        <v>77</v>
      </c>
      <c r="N165" t="s">
        <v>78</v>
      </c>
      <c r="O165" t="s">
        <v>74</v>
      </c>
      <c r="P165" t="s">
        <v>74</v>
      </c>
      <c r="Q165" t="s">
        <v>74</v>
      </c>
      <c r="R165" t="s">
        <v>74</v>
      </c>
      <c r="S165" t="s">
        <v>74</v>
      </c>
      <c r="T165" t="s">
        <v>2655</v>
      </c>
      <c r="U165" t="s">
        <v>2656</v>
      </c>
      <c r="V165" t="s">
        <v>2657</v>
      </c>
      <c r="W165" t="s">
        <v>2658</v>
      </c>
      <c r="X165" t="s">
        <v>2659</v>
      </c>
      <c r="Y165" t="s">
        <v>2660</v>
      </c>
      <c r="Z165" t="s">
        <v>74</v>
      </c>
      <c r="AA165" t="s">
        <v>74</v>
      </c>
      <c r="AB165" t="s">
        <v>74</v>
      </c>
      <c r="AC165" t="s">
        <v>74</v>
      </c>
      <c r="AD165" t="s">
        <v>74</v>
      </c>
      <c r="AE165" t="s">
        <v>74</v>
      </c>
      <c r="AF165" t="s">
        <v>74</v>
      </c>
      <c r="AG165">
        <v>49</v>
      </c>
      <c r="AH165">
        <v>36</v>
      </c>
      <c r="AI165">
        <v>36</v>
      </c>
      <c r="AJ165">
        <v>0</v>
      </c>
      <c r="AK165">
        <v>20</v>
      </c>
      <c r="AL165" t="s">
        <v>110</v>
      </c>
      <c r="AM165" t="s">
        <v>111</v>
      </c>
      <c r="AN165" t="s">
        <v>112</v>
      </c>
      <c r="AO165" t="s">
        <v>1043</v>
      </c>
      <c r="AP165" t="s">
        <v>74</v>
      </c>
      <c r="AQ165" t="s">
        <v>74</v>
      </c>
      <c r="AR165" t="s">
        <v>1045</v>
      </c>
      <c r="AS165" t="s">
        <v>1046</v>
      </c>
      <c r="AT165" t="s">
        <v>2661</v>
      </c>
      <c r="AU165">
        <v>2003</v>
      </c>
      <c r="AV165">
        <v>213</v>
      </c>
      <c r="AW165" t="s">
        <v>116</v>
      </c>
      <c r="AX165" t="s">
        <v>74</v>
      </c>
      <c r="AY165" t="s">
        <v>74</v>
      </c>
      <c r="AZ165" t="s">
        <v>74</v>
      </c>
      <c r="BA165" t="s">
        <v>74</v>
      </c>
      <c r="BB165">
        <v>191</v>
      </c>
      <c r="BC165">
        <v>204</v>
      </c>
      <c r="BD165" t="s">
        <v>74</v>
      </c>
      <c r="BE165" t="s">
        <v>2662</v>
      </c>
      <c r="BF165" t="str">
        <f>HYPERLINK("http://dx.doi.org/10.1016/S0012-821X(03)00324-8","http://dx.doi.org/10.1016/S0012-821X(03)00324-8")</f>
        <v>http://dx.doi.org/10.1016/S0012-821X(03)00324-8</v>
      </c>
      <c r="BG165" t="s">
        <v>74</v>
      </c>
      <c r="BH165" t="s">
        <v>74</v>
      </c>
      <c r="BI165">
        <v>14</v>
      </c>
      <c r="BJ165" t="s">
        <v>176</v>
      </c>
      <c r="BK165" t="s">
        <v>94</v>
      </c>
      <c r="BL165" t="s">
        <v>176</v>
      </c>
      <c r="BM165" t="s">
        <v>2663</v>
      </c>
      <c r="BN165" t="s">
        <v>74</v>
      </c>
      <c r="BO165" t="s">
        <v>74</v>
      </c>
      <c r="BP165" t="s">
        <v>74</v>
      </c>
      <c r="BQ165" t="s">
        <v>74</v>
      </c>
      <c r="BR165" t="s">
        <v>97</v>
      </c>
      <c r="BS165" t="s">
        <v>2664</v>
      </c>
      <c r="BT165" t="str">
        <f>HYPERLINK("https%3A%2F%2Fwww.webofscience.com%2Fwos%2Fwoscc%2Ffull-record%2FWOS:000185060100003","View Full Record in Web of Science")</f>
        <v>View Full Record in Web of Science</v>
      </c>
    </row>
    <row r="166" spans="1:72" x14ac:dyDescent="0.15">
      <c r="A166" t="s">
        <v>72</v>
      </c>
      <c r="B166" t="s">
        <v>2665</v>
      </c>
      <c r="C166" t="s">
        <v>74</v>
      </c>
      <c r="D166" t="s">
        <v>74</v>
      </c>
      <c r="E166" t="s">
        <v>74</v>
      </c>
      <c r="F166" t="s">
        <v>2665</v>
      </c>
      <c r="G166" t="s">
        <v>74</v>
      </c>
      <c r="H166" t="s">
        <v>74</v>
      </c>
      <c r="I166" t="s">
        <v>2666</v>
      </c>
      <c r="J166" t="s">
        <v>1033</v>
      </c>
      <c r="K166" t="s">
        <v>74</v>
      </c>
      <c r="L166" t="s">
        <v>74</v>
      </c>
      <c r="M166" t="s">
        <v>77</v>
      </c>
      <c r="N166" t="s">
        <v>78</v>
      </c>
      <c r="O166" t="s">
        <v>74</v>
      </c>
      <c r="P166" t="s">
        <v>74</v>
      </c>
      <c r="Q166" t="s">
        <v>74</v>
      </c>
      <c r="R166" t="s">
        <v>74</v>
      </c>
      <c r="S166" t="s">
        <v>74</v>
      </c>
      <c r="T166" t="s">
        <v>2667</v>
      </c>
      <c r="U166" t="s">
        <v>2668</v>
      </c>
      <c r="V166" t="s">
        <v>2669</v>
      </c>
      <c r="W166" t="s">
        <v>2670</v>
      </c>
      <c r="X166" t="s">
        <v>2671</v>
      </c>
      <c r="Y166" t="s">
        <v>2672</v>
      </c>
      <c r="Z166" t="s">
        <v>2673</v>
      </c>
      <c r="AA166" t="s">
        <v>2674</v>
      </c>
      <c r="AB166" t="s">
        <v>2675</v>
      </c>
      <c r="AC166" t="s">
        <v>74</v>
      </c>
      <c r="AD166" t="s">
        <v>74</v>
      </c>
      <c r="AE166" t="s">
        <v>74</v>
      </c>
      <c r="AF166" t="s">
        <v>74</v>
      </c>
      <c r="AG166">
        <v>75</v>
      </c>
      <c r="AH166">
        <v>57</v>
      </c>
      <c r="AI166">
        <v>61</v>
      </c>
      <c r="AJ166">
        <v>2</v>
      </c>
      <c r="AK166">
        <v>23</v>
      </c>
      <c r="AL166" t="s">
        <v>781</v>
      </c>
      <c r="AM166" t="s">
        <v>111</v>
      </c>
      <c r="AN166" t="s">
        <v>782</v>
      </c>
      <c r="AO166" t="s">
        <v>1043</v>
      </c>
      <c r="AP166" t="s">
        <v>1044</v>
      </c>
      <c r="AQ166" t="s">
        <v>74</v>
      </c>
      <c r="AR166" t="s">
        <v>1045</v>
      </c>
      <c r="AS166" t="s">
        <v>1046</v>
      </c>
      <c r="AT166" t="s">
        <v>2661</v>
      </c>
      <c r="AU166">
        <v>2003</v>
      </c>
      <c r="AV166">
        <v>213</v>
      </c>
      <c r="AW166" t="s">
        <v>116</v>
      </c>
      <c r="AX166" t="s">
        <v>74</v>
      </c>
      <c r="AY166" t="s">
        <v>74</v>
      </c>
      <c r="AZ166" t="s">
        <v>74</v>
      </c>
      <c r="BA166" t="s">
        <v>74</v>
      </c>
      <c r="BB166">
        <v>407</v>
      </c>
      <c r="BC166">
        <v>416</v>
      </c>
      <c r="BD166" t="s">
        <v>74</v>
      </c>
      <c r="BE166" t="s">
        <v>2676</v>
      </c>
      <c r="BF166" t="str">
        <f>HYPERLINK("http://dx.doi.org/10.1016/S0012-821X(03)00330-3","http://dx.doi.org/10.1016/S0012-821X(03)00330-3")</f>
        <v>http://dx.doi.org/10.1016/S0012-821X(03)00330-3</v>
      </c>
      <c r="BG166" t="s">
        <v>74</v>
      </c>
      <c r="BH166" t="s">
        <v>74</v>
      </c>
      <c r="BI166">
        <v>10</v>
      </c>
      <c r="BJ166" t="s">
        <v>176</v>
      </c>
      <c r="BK166" t="s">
        <v>94</v>
      </c>
      <c r="BL166" t="s">
        <v>176</v>
      </c>
      <c r="BM166" t="s">
        <v>2663</v>
      </c>
      <c r="BN166" t="s">
        <v>74</v>
      </c>
      <c r="BO166" t="s">
        <v>74</v>
      </c>
      <c r="BP166" t="s">
        <v>74</v>
      </c>
      <c r="BQ166" t="s">
        <v>74</v>
      </c>
      <c r="BR166" t="s">
        <v>97</v>
      </c>
      <c r="BS166" t="s">
        <v>2677</v>
      </c>
      <c r="BT166" t="str">
        <f>HYPERLINK("https%3A%2F%2Fwww.webofscience.com%2Fwos%2Fwoscc%2Ffull-record%2FWOS:000185060100019","View Full Record in Web of Science")</f>
        <v>View Full Record in Web of Science</v>
      </c>
    </row>
    <row r="167" spans="1:72" x14ac:dyDescent="0.15">
      <c r="A167" t="s">
        <v>72</v>
      </c>
      <c r="B167" t="s">
        <v>2678</v>
      </c>
      <c r="C167" t="s">
        <v>74</v>
      </c>
      <c r="D167" t="s">
        <v>74</v>
      </c>
      <c r="E167" t="s">
        <v>74</v>
      </c>
      <c r="F167" t="s">
        <v>2678</v>
      </c>
      <c r="G167" t="s">
        <v>74</v>
      </c>
      <c r="H167" t="s">
        <v>74</v>
      </c>
      <c r="I167" t="s">
        <v>2679</v>
      </c>
      <c r="J167" t="s">
        <v>665</v>
      </c>
      <c r="K167" t="s">
        <v>74</v>
      </c>
      <c r="L167" t="s">
        <v>74</v>
      </c>
      <c r="M167" t="s">
        <v>77</v>
      </c>
      <c r="N167" t="s">
        <v>78</v>
      </c>
      <c r="O167" t="s">
        <v>74</v>
      </c>
      <c r="P167" t="s">
        <v>74</v>
      </c>
      <c r="Q167" t="s">
        <v>74</v>
      </c>
      <c r="R167" t="s">
        <v>74</v>
      </c>
      <c r="S167" t="s">
        <v>74</v>
      </c>
      <c r="T167" t="s">
        <v>2680</v>
      </c>
      <c r="U167" t="s">
        <v>2681</v>
      </c>
      <c r="V167" t="s">
        <v>2682</v>
      </c>
      <c r="W167" t="s">
        <v>959</v>
      </c>
      <c r="X167" t="s">
        <v>960</v>
      </c>
      <c r="Y167" t="s">
        <v>2683</v>
      </c>
      <c r="Z167" t="s">
        <v>2684</v>
      </c>
      <c r="AA167" t="s">
        <v>74</v>
      </c>
      <c r="AB167" t="s">
        <v>2685</v>
      </c>
      <c r="AC167" t="s">
        <v>74</v>
      </c>
      <c r="AD167" t="s">
        <v>74</v>
      </c>
      <c r="AE167" t="s">
        <v>74</v>
      </c>
      <c r="AF167" t="s">
        <v>74</v>
      </c>
      <c r="AG167">
        <v>39</v>
      </c>
      <c r="AH167">
        <v>21</v>
      </c>
      <c r="AI167">
        <v>24</v>
      </c>
      <c r="AJ167">
        <v>1</v>
      </c>
      <c r="AK167">
        <v>13</v>
      </c>
      <c r="AL167" t="s">
        <v>539</v>
      </c>
      <c r="AM167" t="s">
        <v>540</v>
      </c>
      <c r="AN167" t="s">
        <v>541</v>
      </c>
      <c r="AO167" t="s">
        <v>672</v>
      </c>
      <c r="AP167" t="s">
        <v>673</v>
      </c>
      <c r="AQ167" t="s">
        <v>74</v>
      </c>
      <c r="AR167" t="s">
        <v>674</v>
      </c>
      <c r="AS167" t="s">
        <v>675</v>
      </c>
      <c r="AT167" t="s">
        <v>2686</v>
      </c>
      <c r="AU167">
        <v>2003</v>
      </c>
      <c r="AV167">
        <v>108</v>
      </c>
      <c r="AW167" t="s">
        <v>2687</v>
      </c>
      <c r="AX167" t="s">
        <v>74</v>
      </c>
      <c r="AY167" t="s">
        <v>74</v>
      </c>
      <c r="AZ167" t="s">
        <v>74</v>
      </c>
      <c r="BA167" t="s">
        <v>74</v>
      </c>
      <c r="BB167" t="s">
        <v>74</v>
      </c>
      <c r="BC167" t="s">
        <v>74</v>
      </c>
      <c r="BD167">
        <v>3275</v>
      </c>
      <c r="BE167" t="s">
        <v>2688</v>
      </c>
      <c r="BF167" t="str">
        <f>HYPERLINK("http://dx.doi.org/10.1029/2001JC001296","http://dx.doi.org/10.1029/2001JC001296")</f>
        <v>http://dx.doi.org/10.1029/2001JC001296</v>
      </c>
      <c r="BG167" t="s">
        <v>74</v>
      </c>
      <c r="BH167" t="s">
        <v>74</v>
      </c>
      <c r="BI167">
        <v>9</v>
      </c>
      <c r="BJ167" t="s">
        <v>678</v>
      </c>
      <c r="BK167" t="s">
        <v>94</v>
      </c>
      <c r="BL167" t="s">
        <v>678</v>
      </c>
      <c r="BM167" t="s">
        <v>2689</v>
      </c>
      <c r="BN167" t="s">
        <v>74</v>
      </c>
      <c r="BO167" t="s">
        <v>74</v>
      </c>
      <c r="BP167" t="s">
        <v>74</v>
      </c>
      <c r="BQ167" t="s">
        <v>74</v>
      </c>
      <c r="BR167" t="s">
        <v>97</v>
      </c>
      <c r="BS167" t="s">
        <v>2690</v>
      </c>
      <c r="BT167" t="str">
        <f>HYPERLINK("https%3A%2F%2Fwww.webofscience.com%2Fwos%2Fwoscc%2Ffull-record%2FWOS:000185000100001","View Full Record in Web of Science")</f>
        <v>View Full Record in Web of Science</v>
      </c>
    </row>
    <row r="168" spans="1:72" x14ac:dyDescent="0.15">
      <c r="A168" t="s">
        <v>72</v>
      </c>
      <c r="B168" t="s">
        <v>2691</v>
      </c>
      <c r="C168" t="s">
        <v>74</v>
      </c>
      <c r="D168" t="s">
        <v>74</v>
      </c>
      <c r="E168" t="s">
        <v>74</v>
      </c>
      <c r="F168" t="s">
        <v>2691</v>
      </c>
      <c r="G168" t="s">
        <v>74</v>
      </c>
      <c r="H168" t="s">
        <v>74</v>
      </c>
      <c r="I168" t="s">
        <v>2692</v>
      </c>
      <c r="J168" t="s">
        <v>2693</v>
      </c>
      <c r="K168" t="s">
        <v>74</v>
      </c>
      <c r="L168" t="s">
        <v>74</v>
      </c>
      <c r="M168" t="s">
        <v>77</v>
      </c>
      <c r="N168" t="s">
        <v>78</v>
      </c>
      <c r="O168" t="s">
        <v>74</v>
      </c>
      <c r="P168" t="s">
        <v>74</v>
      </c>
      <c r="Q168" t="s">
        <v>74</v>
      </c>
      <c r="R168" t="s">
        <v>74</v>
      </c>
      <c r="S168" t="s">
        <v>74</v>
      </c>
      <c r="T168" t="s">
        <v>74</v>
      </c>
      <c r="U168" t="s">
        <v>2694</v>
      </c>
      <c r="V168" t="s">
        <v>2695</v>
      </c>
      <c r="W168" t="s">
        <v>2696</v>
      </c>
      <c r="X168" t="s">
        <v>2697</v>
      </c>
      <c r="Y168" t="s">
        <v>2698</v>
      </c>
      <c r="Z168" t="s">
        <v>74</v>
      </c>
      <c r="AA168" t="s">
        <v>2699</v>
      </c>
      <c r="AB168" t="s">
        <v>2700</v>
      </c>
      <c r="AC168" t="s">
        <v>74</v>
      </c>
      <c r="AD168" t="s">
        <v>74</v>
      </c>
      <c r="AE168" t="s">
        <v>74</v>
      </c>
      <c r="AF168" t="s">
        <v>74</v>
      </c>
      <c r="AG168">
        <v>22</v>
      </c>
      <c r="AH168">
        <v>24</v>
      </c>
      <c r="AI168">
        <v>33</v>
      </c>
      <c r="AJ168">
        <v>0</v>
      </c>
      <c r="AK168">
        <v>18</v>
      </c>
      <c r="AL168" t="s">
        <v>2701</v>
      </c>
      <c r="AM168" t="s">
        <v>2702</v>
      </c>
      <c r="AN168" t="s">
        <v>2703</v>
      </c>
      <c r="AO168" t="s">
        <v>2704</v>
      </c>
      <c r="AP168" t="s">
        <v>74</v>
      </c>
      <c r="AQ168" t="s">
        <v>74</v>
      </c>
      <c r="AR168" t="s">
        <v>2705</v>
      </c>
      <c r="AS168" t="s">
        <v>2706</v>
      </c>
      <c r="AT168" t="s">
        <v>2707</v>
      </c>
      <c r="AU168">
        <v>2003</v>
      </c>
      <c r="AV168">
        <v>278</v>
      </c>
      <c r="AW168">
        <v>34</v>
      </c>
      <c r="AX168" t="s">
        <v>74</v>
      </c>
      <c r="AY168" t="s">
        <v>74</v>
      </c>
      <c r="AZ168" t="s">
        <v>74</v>
      </c>
      <c r="BA168" t="s">
        <v>74</v>
      </c>
      <c r="BB168">
        <v>32307</v>
      </c>
      <c r="BC168">
        <v>32312</v>
      </c>
      <c r="BD168" t="s">
        <v>74</v>
      </c>
      <c r="BE168" t="s">
        <v>2708</v>
      </c>
      <c r="BF168" t="str">
        <f>HYPERLINK("http://dx.doi.org/10.1074/jbc.M304390200","http://dx.doi.org/10.1074/jbc.M304390200")</f>
        <v>http://dx.doi.org/10.1074/jbc.M304390200</v>
      </c>
      <c r="BG168" t="s">
        <v>74</v>
      </c>
      <c r="BH168" t="s">
        <v>74</v>
      </c>
      <c r="BI168">
        <v>6</v>
      </c>
      <c r="BJ168" t="s">
        <v>2709</v>
      </c>
      <c r="BK168" t="s">
        <v>94</v>
      </c>
      <c r="BL168" t="s">
        <v>2709</v>
      </c>
      <c r="BM168" t="s">
        <v>2710</v>
      </c>
      <c r="BN168">
        <v>12805364</v>
      </c>
      <c r="BO168" t="s">
        <v>74</v>
      </c>
      <c r="BP168" t="s">
        <v>74</v>
      </c>
      <c r="BQ168" t="s">
        <v>74</v>
      </c>
      <c r="BR168" t="s">
        <v>97</v>
      </c>
      <c r="BS168" t="s">
        <v>2711</v>
      </c>
      <c r="BT168" t="str">
        <f>HYPERLINK("https%3A%2F%2Fwww.webofscience.com%2Fwos%2Fwoscc%2Ffull-record%2FWOS:000184782100107","View Full Record in Web of Science")</f>
        <v>View Full Record in Web of Science</v>
      </c>
    </row>
    <row r="169" spans="1:72" x14ac:dyDescent="0.15">
      <c r="A169" t="s">
        <v>72</v>
      </c>
      <c r="B169" t="s">
        <v>2712</v>
      </c>
      <c r="C169" t="s">
        <v>74</v>
      </c>
      <c r="D169" t="s">
        <v>74</v>
      </c>
      <c r="E169" t="s">
        <v>74</v>
      </c>
      <c r="F169" t="s">
        <v>2712</v>
      </c>
      <c r="G169" t="s">
        <v>74</v>
      </c>
      <c r="H169" t="s">
        <v>74</v>
      </c>
      <c r="I169" t="s">
        <v>2713</v>
      </c>
      <c r="J169" t="s">
        <v>665</v>
      </c>
      <c r="K169" t="s">
        <v>74</v>
      </c>
      <c r="L169" t="s">
        <v>74</v>
      </c>
      <c r="M169" t="s">
        <v>77</v>
      </c>
      <c r="N169" t="s">
        <v>78</v>
      </c>
      <c r="O169" t="s">
        <v>74</v>
      </c>
      <c r="P169" t="s">
        <v>74</v>
      </c>
      <c r="Q169" t="s">
        <v>74</v>
      </c>
      <c r="R169" t="s">
        <v>74</v>
      </c>
      <c r="S169" t="s">
        <v>74</v>
      </c>
      <c r="T169" t="s">
        <v>2714</v>
      </c>
      <c r="U169" t="s">
        <v>2715</v>
      </c>
      <c r="V169" t="s">
        <v>2716</v>
      </c>
      <c r="W169" t="s">
        <v>2717</v>
      </c>
      <c r="X169" t="s">
        <v>2718</v>
      </c>
      <c r="Y169" t="s">
        <v>2719</v>
      </c>
      <c r="Z169" t="s">
        <v>2720</v>
      </c>
      <c r="AA169" t="s">
        <v>2721</v>
      </c>
      <c r="AB169" t="s">
        <v>2722</v>
      </c>
      <c r="AC169" t="s">
        <v>74</v>
      </c>
      <c r="AD169" t="s">
        <v>74</v>
      </c>
      <c r="AE169" t="s">
        <v>74</v>
      </c>
      <c r="AF169" t="s">
        <v>74</v>
      </c>
      <c r="AG169">
        <v>72</v>
      </c>
      <c r="AH169">
        <v>365</v>
      </c>
      <c r="AI169">
        <v>407</v>
      </c>
      <c r="AJ169">
        <v>8</v>
      </c>
      <c r="AK169">
        <v>96</v>
      </c>
      <c r="AL169" t="s">
        <v>539</v>
      </c>
      <c r="AM169" t="s">
        <v>540</v>
      </c>
      <c r="AN169" t="s">
        <v>541</v>
      </c>
      <c r="AO169" t="s">
        <v>672</v>
      </c>
      <c r="AP169" t="s">
        <v>673</v>
      </c>
      <c r="AQ169" t="s">
        <v>74</v>
      </c>
      <c r="AR169" t="s">
        <v>674</v>
      </c>
      <c r="AS169" t="s">
        <v>675</v>
      </c>
      <c r="AT169" t="s">
        <v>2707</v>
      </c>
      <c r="AU169">
        <v>2003</v>
      </c>
      <c r="AV169">
        <v>108</v>
      </c>
      <c r="AW169" t="s">
        <v>2687</v>
      </c>
      <c r="AX169" t="s">
        <v>74</v>
      </c>
      <c r="AY169" t="s">
        <v>74</v>
      </c>
      <c r="AZ169" t="s">
        <v>74</v>
      </c>
      <c r="BA169" t="s">
        <v>74</v>
      </c>
      <c r="BB169" t="s">
        <v>74</v>
      </c>
      <c r="BC169" t="s">
        <v>74</v>
      </c>
      <c r="BD169">
        <v>3271</v>
      </c>
      <c r="BE169" t="s">
        <v>2723</v>
      </c>
      <c r="BF169" t="str">
        <f>HYPERLINK("http://dx.doi.org/10.1029/2002JC001739","http://dx.doi.org/10.1029/2002JC001739")</f>
        <v>http://dx.doi.org/10.1029/2002JC001739</v>
      </c>
      <c r="BG169" t="s">
        <v>74</v>
      </c>
      <c r="BH169" t="s">
        <v>74</v>
      </c>
      <c r="BI169">
        <v>18</v>
      </c>
      <c r="BJ169" t="s">
        <v>678</v>
      </c>
      <c r="BK169" t="s">
        <v>94</v>
      </c>
      <c r="BL169" t="s">
        <v>678</v>
      </c>
      <c r="BM169" t="s">
        <v>2724</v>
      </c>
      <c r="BN169" t="s">
        <v>74</v>
      </c>
      <c r="BO169" t="s">
        <v>74</v>
      </c>
      <c r="BP169" t="s">
        <v>74</v>
      </c>
      <c r="BQ169" t="s">
        <v>74</v>
      </c>
      <c r="BR169" t="s">
        <v>97</v>
      </c>
      <c r="BS169" t="s">
        <v>2725</v>
      </c>
      <c r="BT169" t="str">
        <f>HYPERLINK("https%3A%2F%2Fwww.webofscience.com%2Fwos%2Fwoscc%2Ffull-record%2FWOS:000184999900004","View Full Record in Web of Science")</f>
        <v>View Full Record in Web of Science</v>
      </c>
    </row>
    <row r="170" spans="1:72" x14ac:dyDescent="0.15">
      <c r="A170" t="s">
        <v>72</v>
      </c>
      <c r="B170" t="s">
        <v>2726</v>
      </c>
      <c r="C170" t="s">
        <v>74</v>
      </c>
      <c r="D170" t="s">
        <v>74</v>
      </c>
      <c r="E170" t="s">
        <v>74</v>
      </c>
      <c r="F170" t="s">
        <v>2726</v>
      </c>
      <c r="G170" t="s">
        <v>74</v>
      </c>
      <c r="H170" t="s">
        <v>74</v>
      </c>
      <c r="I170" t="s">
        <v>2727</v>
      </c>
      <c r="J170" t="s">
        <v>665</v>
      </c>
      <c r="K170" t="s">
        <v>74</v>
      </c>
      <c r="L170" t="s">
        <v>74</v>
      </c>
      <c r="M170" t="s">
        <v>77</v>
      </c>
      <c r="N170" t="s">
        <v>78</v>
      </c>
      <c r="O170" t="s">
        <v>74</v>
      </c>
      <c r="P170" t="s">
        <v>74</v>
      </c>
      <c r="Q170" t="s">
        <v>74</v>
      </c>
      <c r="R170" t="s">
        <v>74</v>
      </c>
      <c r="S170" t="s">
        <v>74</v>
      </c>
      <c r="T170" t="s">
        <v>2728</v>
      </c>
      <c r="U170" t="s">
        <v>2729</v>
      </c>
      <c r="V170" t="s">
        <v>2730</v>
      </c>
      <c r="W170" t="s">
        <v>2731</v>
      </c>
      <c r="X170" t="s">
        <v>2732</v>
      </c>
      <c r="Y170" t="s">
        <v>2733</v>
      </c>
      <c r="Z170" t="s">
        <v>2734</v>
      </c>
      <c r="AA170" t="s">
        <v>2735</v>
      </c>
      <c r="AB170" t="s">
        <v>2736</v>
      </c>
      <c r="AC170" t="s">
        <v>74</v>
      </c>
      <c r="AD170" t="s">
        <v>74</v>
      </c>
      <c r="AE170" t="s">
        <v>74</v>
      </c>
      <c r="AF170" t="s">
        <v>74</v>
      </c>
      <c r="AG170">
        <v>61</v>
      </c>
      <c r="AH170">
        <v>85</v>
      </c>
      <c r="AI170">
        <v>89</v>
      </c>
      <c r="AJ170">
        <v>1</v>
      </c>
      <c r="AK170">
        <v>23</v>
      </c>
      <c r="AL170" t="s">
        <v>539</v>
      </c>
      <c r="AM170" t="s">
        <v>540</v>
      </c>
      <c r="AN170" t="s">
        <v>541</v>
      </c>
      <c r="AO170" t="s">
        <v>672</v>
      </c>
      <c r="AP170" t="s">
        <v>673</v>
      </c>
      <c r="AQ170" t="s">
        <v>74</v>
      </c>
      <c r="AR170" t="s">
        <v>674</v>
      </c>
      <c r="AS170" t="s">
        <v>675</v>
      </c>
      <c r="AT170" t="s">
        <v>2707</v>
      </c>
      <c r="AU170">
        <v>2003</v>
      </c>
      <c r="AV170">
        <v>108</v>
      </c>
      <c r="AW170" t="s">
        <v>2687</v>
      </c>
      <c r="AX170" t="s">
        <v>74</v>
      </c>
      <c r="AY170" t="s">
        <v>74</v>
      </c>
      <c r="AZ170" t="s">
        <v>74</v>
      </c>
      <c r="BA170" t="s">
        <v>74</v>
      </c>
      <c r="BB170" t="s">
        <v>74</v>
      </c>
      <c r="BC170" t="s">
        <v>74</v>
      </c>
      <c r="BD170">
        <v>3272</v>
      </c>
      <c r="BE170" t="s">
        <v>2737</v>
      </c>
      <c r="BF170" t="str">
        <f>HYPERLINK("http://dx.doi.org/10.1029/2002JC001604","http://dx.doi.org/10.1029/2002JC001604")</f>
        <v>http://dx.doi.org/10.1029/2002JC001604</v>
      </c>
      <c r="BG170" t="s">
        <v>74</v>
      </c>
      <c r="BH170" t="s">
        <v>74</v>
      </c>
      <c r="BI170">
        <v>14</v>
      </c>
      <c r="BJ170" t="s">
        <v>678</v>
      </c>
      <c r="BK170" t="s">
        <v>94</v>
      </c>
      <c r="BL170" t="s">
        <v>678</v>
      </c>
      <c r="BM170" t="s">
        <v>2724</v>
      </c>
      <c r="BN170" t="s">
        <v>74</v>
      </c>
      <c r="BO170" t="s">
        <v>96</v>
      </c>
      <c r="BP170" t="s">
        <v>74</v>
      </c>
      <c r="BQ170" t="s">
        <v>74</v>
      </c>
      <c r="BR170" t="s">
        <v>97</v>
      </c>
      <c r="BS170" t="s">
        <v>2738</v>
      </c>
      <c r="BT170" t="str">
        <f>HYPERLINK("https%3A%2F%2Fwww.webofscience.com%2Fwos%2Fwoscc%2Ffull-record%2FWOS:000184999900003","View Full Record in Web of Science")</f>
        <v>View Full Record in Web of Science</v>
      </c>
    </row>
    <row r="171" spans="1:72" x14ac:dyDescent="0.15">
      <c r="A171" t="s">
        <v>72</v>
      </c>
      <c r="B171" t="s">
        <v>2739</v>
      </c>
      <c r="C171" t="s">
        <v>74</v>
      </c>
      <c r="D171" t="s">
        <v>74</v>
      </c>
      <c r="E171" t="s">
        <v>74</v>
      </c>
      <c r="F171" t="s">
        <v>2739</v>
      </c>
      <c r="G171" t="s">
        <v>74</v>
      </c>
      <c r="H171" t="s">
        <v>74</v>
      </c>
      <c r="I171" t="s">
        <v>2740</v>
      </c>
      <c r="J171" t="s">
        <v>2741</v>
      </c>
      <c r="K171" t="s">
        <v>74</v>
      </c>
      <c r="L171" t="s">
        <v>74</v>
      </c>
      <c r="M171" t="s">
        <v>77</v>
      </c>
      <c r="N171" t="s">
        <v>78</v>
      </c>
      <c r="O171" t="s">
        <v>74</v>
      </c>
      <c r="P171" t="s">
        <v>74</v>
      </c>
      <c r="Q171" t="s">
        <v>74</v>
      </c>
      <c r="R171" t="s">
        <v>74</v>
      </c>
      <c r="S171" t="s">
        <v>74</v>
      </c>
      <c r="T171" t="s">
        <v>74</v>
      </c>
      <c r="U171" t="s">
        <v>2742</v>
      </c>
      <c r="V171" t="s">
        <v>2743</v>
      </c>
      <c r="W171" t="s">
        <v>2744</v>
      </c>
      <c r="X171" t="s">
        <v>2745</v>
      </c>
      <c r="Y171" t="s">
        <v>2746</v>
      </c>
      <c r="Z171" t="s">
        <v>2747</v>
      </c>
      <c r="AA171" t="s">
        <v>2748</v>
      </c>
      <c r="AB171" t="s">
        <v>2749</v>
      </c>
      <c r="AC171" t="s">
        <v>74</v>
      </c>
      <c r="AD171" t="s">
        <v>74</v>
      </c>
      <c r="AE171" t="s">
        <v>74</v>
      </c>
      <c r="AF171" t="s">
        <v>74</v>
      </c>
      <c r="AG171">
        <v>30</v>
      </c>
      <c r="AH171">
        <v>191</v>
      </c>
      <c r="AI171">
        <v>218</v>
      </c>
      <c r="AJ171">
        <v>0</v>
      </c>
      <c r="AK171">
        <v>21</v>
      </c>
      <c r="AL171" t="s">
        <v>2750</v>
      </c>
      <c r="AM171" t="s">
        <v>540</v>
      </c>
      <c r="AN171" t="s">
        <v>2751</v>
      </c>
      <c r="AO171" t="s">
        <v>2752</v>
      </c>
      <c r="AP171" t="s">
        <v>2753</v>
      </c>
      <c r="AQ171" t="s">
        <v>74</v>
      </c>
      <c r="AR171" t="s">
        <v>2741</v>
      </c>
      <c r="AS171" t="s">
        <v>2754</v>
      </c>
      <c r="AT171" t="s">
        <v>2707</v>
      </c>
      <c r="AU171">
        <v>2003</v>
      </c>
      <c r="AV171">
        <v>301</v>
      </c>
      <c r="AW171">
        <v>5636</v>
      </c>
      <c r="AX171" t="s">
        <v>74</v>
      </c>
      <c r="AY171" t="s">
        <v>74</v>
      </c>
      <c r="AZ171" t="s">
        <v>74</v>
      </c>
      <c r="BA171" t="s">
        <v>74</v>
      </c>
      <c r="BB171">
        <v>1087</v>
      </c>
      <c r="BC171">
        <v>1089</v>
      </c>
      <c r="BD171" t="s">
        <v>74</v>
      </c>
      <c r="BE171" t="s">
        <v>2755</v>
      </c>
      <c r="BF171" t="str">
        <f>HYPERLINK("http://dx.doi.org/10.1126/science.1087231","http://dx.doi.org/10.1126/science.1087231")</f>
        <v>http://dx.doi.org/10.1126/science.1087231</v>
      </c>
      <c r="BG171" t="s">
        <v>74</v>
      </c>
      <c r="BH171" t="s">
        <v>74</v>
      </c>
      <c r="BI171">
        <v>3</v>
      </c>
      <c r="BJ171" t="s">
        <v>971</v>
      </c>
      <c r="BK171" t="s">
        <v>94</v>
      </c>
      <c r="BL171" t="s">
        <v>972</v>
      </c>
      <c r="BM171" t="s">
        <v>2756</v>
      </c>
      <c r="BN171">
        <v>12934005</v>
      </c>
      <c r="BO171" t="s">
        <v>154</v>
      </c>
      <c r="BP171" t="s">
        <v>74</v>
      </c>
      <c r="BQ171" t="s">
        <v>74</v>
      </c>
      <c r="BR171" t="s">
        <v>97</v>
      </c>
      <c r="BS171" t="s">
        <v>2757</v>
      </c>
      <c r="BT171" t="str">
        <f>HYPERLINK("https%3A%2F%2Fwww.webofscience.com%2Fwos%2Fwoscc%2Ffull-record%2FWOS:000184872400037","View Full Record in Web of Science")</f>
        <v>View Full Record in Web of Science</v>
      </c>
    </row>
    <row r="172" spans="1:72" x14ac:dyDescent="0.15">
      <c r="A172" t="s">
        <v>72</v>
      </c>
      <c r="B172" t="s">
        <v>2758</v>
      </c>
      <c r="C172" t="s">
        <v>74</v>
      </c>
      <c r="D172" t="s">
        <v>74</v>
      </c>
      <c r="E172" t="s">
        <v>74</v>
      </c>
      <c r="F172" t="s">
        <v>2758</v>
      </c>
      <c r="G172" t="s">
        <v>74</v>
      </c>
      <c r="H172" t="s">
        <v>74</v>
      </c>
      <c r="I172" t="s">
        <v>2759</v>
      </c>
      <c r="J172" t="s">
        <v>2760</v>
      </c>
      <c r="K172" t="s">
        <v>74</v>
      </c>
      <c r="L172" t="s">
        <v>74</v>
      </c>
      <c r="M172" t="s">
        <v>77</v>
      </c>
      <c r="N172" t="s">
        <v>78</v>
      </c>
      <c r="O172" t="s">
        <v>74</v>
      </c>
      <c r="P172" t="s">
        <v>74</v>
      </c>
      <c r="Q172" t="s">
        <v>74</v>
      </c>
      <c r="R172" t="s">
        <v>74</v>
      </c>
      <c r="S172" t="s">
        <v>74</v>
      </c>
      <c r="T172" t="s">
        <v>74</v>
      </c>
      <c r="U172" t="s">
        <v>2761</v>
      </c>
      <c r="V172" t="s">
        <v>2762</v>
      </c>
      <c r="W172" t="s">
        <v>2763</v>
      </c>
      <c r="X172" t="s">
        <v>2764</v>
      </c>
      <c r="Y172" t="s">
        <v>2765</v>
      </c>
      <c r="Z172" t="s">
        <v>74</v>
      </c>
      <c r="AA172" t="s">
        <v>74</v>
      </c>
      <c r="AB172" t="s">
        <v>2766</v>
      </c>
      <c r="AC172" t="s">
        <v>74</v>
      </c>
      <c r="AD172" t="s">
        <v>74</v>
      </c>
      <c r="AE172" t="s">
        <v>74</v>
      </c>
      <c r="AF172" t="s">
        <v>74</v>
      </c>
      <c r="AG172">
        <v>28</v>
      </c>
      <c r="AH172">
        <v>5</v>
      </c>
      <c r="AI172">
        <v>5</v>
      </c>
      <c r="AJ172">
        <v>0</v>
      </c>
      <c r="AK172">
        <v>3</v>
      </c>
      <c r="AL172" t="s">
        <v>1651</v>
      </c>
      <c r="AM172" t="s">
        <v>1652</v>
      </c>
      <c r="AN172" t="s">
        <v>1653</v>
      </c>
      <c r="AO172" t="s">
        <v>2767</v>
      </c>
      <c r="AP172" t="s">
        <v>74</v>
      </c>
      <c r="AQ172" t="s">
        <v>74</v>
      </c>
      <c r="AR172" t="s">
        <v>2768</v>
      </c>
      <c r="AS172" t="s">
        <v>2769</v>
      </c>
      <c r="AT172" t="s">
        <v>2770</v>
      </c>
      <c r="AU172">
        <v>2003</v>
      </c>
      <c r="AV172">
        <v>24</v>
      </c>
      <c r="AW172">
        <v>16</v>
      </c>
      <c r="AX172" t="s">
        <v>74</v>
      </c>
      <c r="AY172" t="s">
        <v>74</v>
      </c>
      <c r="AZ172" t="s">
        <v>74</v>
      </c>
      <c r="BA172" t="s">
        <v>74</v>
      </c>
      <c r="BB172">
        <v>3191</v>
      </c>
      <c r="BC172">
        <v>3204</v>
      </c>
      <c r="BD172" t="s">
        <v>74</v>
      </c>
      <c r="BE172" t="s">
        <v>2771</v>
      </c>
      <c r="BF172" t="str">
        <f>HYPERLINK("http://dx.doi.org/10.1080/0143116021000021260","http://dx.doi.org/10.1080/0143116021000021260")</f>
        <v>http://dx.doi.org/10.1080/0143116021000021260</v>
      </c>
      <c r="BG172" t="s">
        <v>74</v>
      </c>
      <c r="BH172" t="s">
        <v>74</v>
      </c>
      <c r="BI172">
        <v>14</v>
      </c>
      <c r="BJ172" t="s">
        <v>2772</v>
      </c>
      <c r="BK172" t="s">
        <v>94</v>
      </c>
      <c r="BL172" t="s">
        <v>2772</v>
      </c>
      <c r="BM172" t="s">
        <v>2773</v>
      </c>
      <c r="BN172" t="s">
        <v>74</v>
      </c>
      <c r="BO172" t="s">
        <v>74</v>
      </c>
      <c r="BP172" t="s">
        <v>74</v>
      </c>
      <c r="BQ172" t="s">
        <v>74</v>
      </c>
      <c r="BR172" t="s">
        <v>97</v>
      </c>
      <c r="BS172" t="s">
        <v>2774</v>
      </c>
      <c r="BT172" t="str">
        <f>HYPERLINK("https%3A%2F%2Fwww.webofscience.com%2Fwos%2Fwoscc%2Ffull-record%2FWOS:000184128200001","View Full Record in Web of Science")</f>
        <v>View Full Record in Web of Science</v>
      </c>
    </row>
    <row r="173" spans="1:72" x14ac:dyDescent="0.15">
      <c r="A173" t="s">
        <v>72</v>
      </c>
      <c r="B173" t="s">
        <v>2775</v>
      </c>
      <c r="C173" t="s">
        <v>74</v>
      </c>
      <c r="D173" t="s">
        <v>74</v>
      </c>
      <c r="E173" t="s">
        <v>74</v>
      </c>
      <c r="F173" t="s">
        <v>2775</v>
      </c>
      <c r="G173" t="s">
        <v>74</v>
      </c>
      <c r="H173" t="s">
        <v>74</v>
      </c>
      <c r="I173" t="s">
        <v>2776</v>
      </c>
      <c r="J173" t="s">
        <v>2760</v>
      </c>
      <c r="K173" t="s">
        <v>74</v>
      </c>
      <c r="L173" t="s">
        <v>74</v>
      </c>
      <c r="M173" t="s">
        <v>77</v>
      </c>
      <c r="N173" t="s">
        <v>78</v>
      </c>
      <c r="O173" t="s">
        <v>74</v>
      </c>
      <c r="P173" t="s">
        <v>74</v>
      </c>
      <c r="Q173" t="s">
        <v>74</v>
      </c>
      <c r="R173" t="s">
        <v>74</v>
      </c>
      <c r="S173" t="s">
        <v>74</v>
      </c>
      <c r="T173" t="s">
        <v>74</v>
      </c>
      <c r="U173" t="s">
        <v>2777</v>
      </c>
      <c r="V173" t="s">
        <v>2778</v>
      </c>
      <c r="W173" t="s">
        <v>2779</v>
      </c>
      <c r="X173" t="s">
        <v>2780</v>
      </c>
      <c r="Y173" t="s">
        <v>2781</v>
      </c>
      <c r="Z173" t="s">
        <v>2782</v>
      </c>
      <c r="AA173" t="s">
        <v>2783</v>
      </c>
      <c r="AB173" t="s">
        <v>2784</v>
      </c>
      <c r="AC173" t="s">
        <v>74</v>
      </c>
      <c r="AD173" t="s">
        <v>74</v>
      </c>
      <c r="AE173" t="s">
        <v>74</v>
      </c>
      <c r="AF173" t="s">
        <v>74</v>
      </c>
      <c r="AG173">
        <v>27</v>
      </c>
      <c r="AH173">
        <v>23</v>
      </c>
      <c r="AI173">
        <v>25</v>
      </c>
      <c r="AJ173">
        <v>0</v>
      </c>
      <c r="AK173">
        <v>6</v>
      </c>
      <c r="AL173" t="s">
        <v>1651</v>
      </c>
      <c r="AM173" t="s">
        <v>1652</v>
      </c>
      <c r="AN173" t="s">
        <v>2361</v>
      </c>
      <c r="AO173" t="s">
        <v>2767</v>
      </c>
      <c r="AP173" t="s">
        <v>2785</v>
      </c>
      <c r="AQ173" t="s">
        <v>74</v>
      </c>
      <c r="AR173" t="s">
        <v>2768</v>
      </c>
      <c r="AS173" t="s">
        <v>2769</v>
      </c>
      <c r="AT173" t="s">
        <v>2770</v>
      </c>
      <c r="AU173">
        <v>2003</v>
      </c>
      <c r="AV173">
        <v>24</v>
      </c>
      <c r="AW173">
        <v>16</v>
      </c>
      <c r="AX173" t="s">
        <v>74</v>
      </c>
      <c r="AY173" t="s">
        <v>74</v>
      </c>
      <c r="AZ173" t="s">
        <v>74</v>
      </c>
      <c r="BA173" t="s">
        <v>74</v>
      </c>
      <c r="BB173">
        <v>3205</v>
      </c>
      <c r="BC173">
        <v>3218</v>
      </c>
      <c r="BD173" t="s">
        <v>74</v>
      </c>
      <c r="BE173" t="s">
        <v>2786</v>
      </c>
      <c r="BF173" t="str">
        <f>HYPERLINK("http://dx.doi.org/10.1080/0143116021000047938","http://dx.doi.org/10.1080/0143116021000047938")</f>
        <v>http://dx.doi.org/10.1080/0143116021000047938</v>
      </c>
      <c r="BG173" t="s">
        <v>74</v>
      </c>
      <c r="BH173" t="s">
        <v>74</v>
      </c>
      <c r="BI173">
        <v>14</v>
      </c>
      <c r="BJ173" t="s">
        <v>2772</v>
      </c>
      <c r="BK173" t="s">
        <v>94</v>
      </c>
      <c r="BL173" t="s">
        <v>2772</v>
      </c>
      <c r="BM173" t="s">
        <v>2773</v>
      </c>
      <c r="BN173" t="s">
        <v>74</v>
      </c>
      <c r="BO173" t="s">
        <v>74</v>
      </c>
      <c r="BP173" t="s">
        <v>74</v>
      </c>
      <c r="BQ173" t="s">
        <v>74</v>
      </c>
      <c r="BR173" t="s">
        <v>97</v>
      </c>
      <c r="BS173" t="s">
        <v>2787</v>
      </c>
      <c r="BT173" t="str">
        <f>HYPERLINK("https%3A%2F%2Fwww.webofscience.com%2Fwos%2Fwoscc%2Ffull-record%2FWOS:000184128200002","View Full Record in Web of Science")</f>
        <v>View Full Record in Web of Science</v>
      </c>
    </row>
    <row r="174" spans="1:72" x14ac:dyDescent="0.15">
      <c r="A174" t="s">
        <v>72</v>
      </c>
      <c r="B174" t="s">
        <v>2788</v>
      </c>
      <c r="C174" t="s">
        <v>74</v>
      </c>
      <c r="D174" t="s">
        <v>74</v>
      </c>
      <c r="E174" t="s">
        <v>74</v>
      </c>
      <c r="F174" t="s">
        <v>2788</v>
      </c>
      <c r="G174" t="s">
        <v>74</v>
      </c>
      <c r="H174" t="s">
        <v>74</v>
      </c>
      <c r="I174" t="s">
        <v>2789</v>
      </c>
      <c r="J174" t="s">
        <v>578</v>
      </c>
      <c r="K174" t="s">
        <v>74</v>
      </c>
      <c r="L174" t="s">
        <v>74</v>
      </c>
      <c r="M174" t="s">
        <v>77</v>
      </c>
      <c r="N174" t="s">
        <v>78</v>
      </c>
      <c r="O174" t="s">
        <v>74</v>
      </c>
      <c r="P174" t="s">
        <v>74</v>
      </c>
      <c r="Q174" t="s">
        <v>74</v>
      </c>
      <c r="R174" t="s">
        <v>74</v>
      </c>
      <c r="S174" t="s">
        <v>74</v>
      </c>
      <c r="T174" t="s">
        <v>2790</v>
      </c>
      <c r="U174" t="s">
        <v>2791</v>
      </c>
      <c r="V174" t="s">
        <v>2792</v>
      </c>
      <c r="W174" t="s">
        <v>2793</v>
      </c>
      <c r="X174" t="s">
        <v>2794</v>
      </c>
      <c r="Y174" t="s">
        <v>2795</v>
      </c>
      <c r="Z174" t="s">
        <v>2796</v>
      </c>
      <c r="AA174" t="s">
        <v>74</v>
      </c>
      <c r="AB174" t="s">
        <v>74</v>
      </c>
      <c r="AC174" t="s">
        <v>74</v>
      </c>
      <c r="AD174" t="s">
        <v>74</v>
      </c>
      <c r="AE174" t="s">
        <v>74</v>
      </c>
      <c r="AF174" t="s">
        <v>74</v>
      </c>
      <c r="AG174">
        <v>35</v>
      </c>
      <c r="AH174">
        <v>37</v>
      </c>
      <c r="AI174">
        <v>38</v>
      </c>
      <c r="AJ174">
        <v>0</v>
      </c>
      <c r="AK174">
        <v>3</v>
      </c>
      <c r="AL174" t="s">
        <v>539</v>
      </c>
      <c r="AM174" t="s">
        <v>540</v>
      </c>
      <c r="AN174" t="s">
        <v>541</v>
      </c>
      <c r="AO174" t="s">
        <v>588</v>
      </c>
      <c r="AP174" t="s">
        <v>74</v>
      </c>
      <c r="AQ174" t="s">
        <v>74</v>
      </c>
      <c r="AR174" t="s">
        <v>589</v>
      </c>
      <c r="AS174" t="s">
        <v>590</v>
      </c>
      <c r="AT174" t="s">
        <v>2797</v>
      </c>
      <c r="AU174">
        <v>2003</v>
      </c>
      <c r="AV174">
        <v>108</v>
      </c>
      <c r="AW174" t="s">
        <v>2622</v>
      </c>
      <c r="AX174" t="s">
        <v>74</v>
      </c>
      <c r="AY174" t="s">
        <v>74</v>
      </c>
      <c r="AZ174" t="s">
        <v>74</v>
      </c>
      <c r="BA174" t="s">
        <v>74</v>
      </c>
      <c r="BB174" t="s">
        <v>74</v>
      </c>
      <c r="BC174" t="s">
        <v>74</v>
      </c>
      <c r="BD174">
        <v>4494</v>
      </c>
      <c r="BE174" t="s">
        <v>2798</v>
      </c>
      <c r="BF174" t="str">
        <f>HYPERLINK("http://dx.doi.org/10.1029/2002JD002799","http://dx.doi.org/10.1029/2002JD002799")</f>
        <v>http://dx.doi.org/10.1029/2002JD002799</v>
      </c>
      <c r="BG174" t="s">
        <v>74</v>
      </c>
      <c r="BH174" t="s">
        <v>74</v>
      </c>
      <c r="BI174">
        <v>18</v>
      </c>
      <c r="BJ174" t="s">
        <v>93</v>
      </c>
      <c r="BK174" t="s">
        <v>94</v>
      </c>
      <c r="BL174" t="s">
        <v>93</v>
      </c>
      <c r="BM174" t="s">
        <v>2799</v>
      </c>
      <c r="BN174" t="s">
        <v>74</v>
      </c>
      <c r="BO174" t="s">
        <v>2800</v>
      </c>
      <c r="BP174" t="s">
        <v>74</v>
      </c>
      <c r="BQ174" t="s">
        <v>74</v>
      </c>
      <c r="BR174" t="s">
        <v>97</v>
      </c>
      <c r="BS174" t="s">
        <v>2801</v>
      </c>
      <c r="BT174" t="str">
        <f>HYPERLINK("https%3A%2F%2Fwww.webofscience.com%2Fwos%2Fwoscc%2Ffull-record%2FWOS:000184998800002","View Full Record in Web of Science")</f>
        <v>View Full Record in Web of Science</v>
      </c>
    </row>
    <row r="175" spans="1:72" x14ac:dyDescent="0.15">
      <c r="A175" t="s">
        <v>72</v>
      </c>
      <c r="B175" t="s">
        <v>2802</v>
      </c>
      <c r="C175" t="s">
        <v>74</v>
      </c>
      <c r="D175" t="s">
        <v>74</v>
      </c>
      <c r="E175" t="s">
        <v>74</v>
      </c>
      <c r="F175" t="s">
        <v>2802</v>
      </c>
      <c r="G175" t="s">
        <v>74</v>
      </c>
      <c r="H175" t="s">
        <v>74</v>
      </c>
      <c r="I175" t="s">
        <v>2803</v>
      </c>
      <c r="J175" t="s">
        <v>665</v>
      </c>
      <c r="K175" t="s">
        <v>74</v>
      </c>
      <c r="L175" t="s">
        <v>74</v>
      </c>
      <c r="M175" t="s">
        <v>77</v>
      </c>
      <c r="N175" t="s">
        <v>78</v>
      </c>
      <c r="O175" t="s">
        <v>74</v>
      </c>
      <c r="P175" t="s">
        <v>74</v>
      </c>
      <c r="Q175" t="s">
        <v>74</v>
      </c>
      <c r="R175" t="s">
        <v>74</v>
      </c>
      <c r="S175" t="s">
        <v>74</v>
      </c>
      <c r="T175" t="s">
        <v>2804</v>
      </c>
      <c r="U175" t="s">
        <v>2805</v>
      </c>
      <c r="V175" t="s">
        <v>2806</v>
      </c>
      <c r="W175" t="s">
        <v>2807</v>
      </c>
      <c r="X175" t="s">
        <v>2808</v>
      </c>
      <c r="Y175" t="s">
        <v>2809</v>
      </c>
      <c r="Z175" t="s">
        <v>2810</v>
      </c>
      <c r="AA175" t="s">
        <v>2811</v>
      </c>
      <c r="AB175" t="s">
        <v>2812</v>
      </c>
      <c r="AC175" t="s">
        <v>74</v>
      </c>
      <c r="AD175" t="s">
        <v>74</v>
      </c>
      <c r="AE175" t="s">
        <v>74</v>
      </c>
      <c r="AF175" t="s">
        <v>74</v>
      </c>
      <c r="AG175">
        <v>63</v>
      </c>
      <c r="AH175">
        <v>15</v>
      </c>
      <c r="AI175">
        <v>18</v>
      </c>
      <c r="AJ175">
        <v>0</v>
      </c>
      <c r="AK175">
        <v>2</v>
      </c>
      <c r="AL175" t="s">
        <v>539</v>
      </c>
      <c r="AM175" t="s">
        <v>540</v>
      </c>
      <c r="AN175" t="s">
        <v>541</v>
      </c>
      <c r="AO175" t="s">
        <v>672</v>
      </c>
      <c r="AP175" t="s">
        <v>673</v>
      </c>
      <c r="AQ175" t="s">
        <v>74</v>
      </c>
      <c r="AR175" t="s">
        <v>674</v>
      </c>
      <c r="AS175" t="s">
        <v>675</v>
      </c>
      <c r="AT175" t="s">
        <v>2813</v>
      </c>
      <c r="AU175">
        <v>2003</v>
      </c>
      <c r="AV175">
        <v>108</v>
      </c>
      <c r="AW175" t="s">
        <v>2687</v>
      </c>
      <c r="AX175" t="s">
        <v>74</v>
      </c>
      <c r="AY175" t="s">
        <v>74</v>
      </c>
      <c r="AZ175" t="s">
        <v>74</v>
      </c>
      <c r="BA175" t="s">
        <v>74</v>
      </c>
      <c r="BB175" t="s">
        <v>74</v>
      </c>
      <c r="BC175" t="s">
        <v>74</v>
      </c>
      <c r="BD175">
        <v>3263</v>
      </c>
      <c r="BE175" t="s">
        <v>2814</v>
      </c>
      <c r="BF175" t="str">
        <f>HYPERLINK("http://dx.doi.org/10.1029/2002JC001545","http://dx.doi.org/10.1029/2002JC001545")</f>
        <v>http://dx.doi.org/10.1029/2002JC001545</v>
      </c>
      <c r="BG175" t="s">
        <v>74</v>
      </c>
      <c r="BH175" t="s">
        <v>74</v>
      </c>
      <c r="BI175">
        <v>19</v>
      </c>
      <c r="BJ175" t="s">
        <v>678</v>
      </c>
      <c r="BK175" t="s">
        <v>94</v>
      </c>
      <c r="BL175" t="s">
        <v>678</v>
      </c>
      <c r="BM175" t="s">
        <v>2815</v>
      </c>
      <c r="BN175" t="s">
        <v>74</v>
      </c>
      <c r="BO175" t="s">
        <v>759</v>
      </c>
      <c r="BP175" t="s">
        <v>74</v>
      </c>
      <c r="BQ175" t="s">
        <v>74</v>
      </c>
      <c r="BR175" t="s">
        <v>97</v>
      </c>
      <c r="BS175" t="s">
        <v>2816</v>
      </c>
      <c r="BT175" t="str">
        <f>HYPERLINK("https%3A%2F%2Fwww.webofscience.com%2Fwos%2Fwoscc%2Ffull-record%2FWOS:000184869300002","View Full Record in Web of Science")</f>
        <v>View Full Record in Web of Science</v>
      </c>
    </row>
    <row r="176" spans="1:72" x14ac:dyDescent="0.15">
      <c r="A176" t="s">
        <v>72</v>
      </c>
      <c r="B176" t="s">
        <v>2817</v>
      </c>
      <c r="C176" t="s">
        <v>74</v>
      </c>
      <c r="D176" t="s">
        <v>74</v>
      </c>
      <c r="E176" t="s">
        <v>74</v>
      </c>
      <c r="F176" t="s">
        <v>2817</v>
      </c>
      <c r="G176" t="s">
        <v>74</v>
      </c>
      <c r="H176" t="s">
        <v>74</v>
      </c>
      <c r="I176" t="s">
        <v>2818</v>
      </c>
      <c r="J176" t="s">
        <v>2819</v>
      </c>
      <c r="K176" t="s">
        <v>74</v>
      </c>
      <c r="L176" t="s">
        <v>74</v>
      </c>
      <c r="M176" t="s">
        <v>77</v>
      </c>
      <c r="N176" t="s">
        <v>78</v>
      </c>
      <c r="O176" t="s">
        <v>74</v>
      </c>
      <c r="P176" t="s">
        <v>74</v>
      </c>
      <c r="Q176" t="s">
        <v>74</v>
      </c>
      <c r="R176" t="s">
        <v>74</v>
      </c>
      <c r="S176" t="s">
        <v>74</v>
      </c>
      <c r="T176" t="s">
        <v>74</v>
      </c>
      <c r="U176" t="s">
        <v>2820</v>
      </c>
      <c r="V176" t="s">
        <v>2821</v>
      </c>
      <c r="W176" t="s">
        <v>2822</v>
      </c>
      <c r="X176" t="s">
        <v>2823</v>
      </c>
      <c r="Y176" t="s">
        <v>2824</v>
      </c>
      <c r="Z176" t="s">
        <v>74</v>
      </c>
      <c r="AA176" t="s">
        <v>2825</v>
      </c>
      <c r="AB176" t="s">
        <v>2826</v>
      </c>
      <c r="AC176" t="s">
        <v>74</v>
      </c>
      <c r="AD176" t="s">
        <v>74</v>
      </c>
      <c r="AE176" t="s">
        <v>74</v>
      </c>
      <c r="AF176" t="s">
        <v>74</v>
      </c>
      <c r="AG176">
        <v>47</v>
      </c>
      <c r="AH176">
        <v>24</v>
      </c>
      <c r="AI176">
        <v>25</v>
      </c>
      <c r="AJ176">
        <v>0</v>
      </c>
      <c r="AK176">
        <v>1</v>
      </c>
      <c r="AL176" t="s">
        <v>2827</v>
      </c>
      <c r="AM176" t="s">
        <v>2828</v>
      </c>
      <c r="AN176" t="s">
        <v>2829</v>
      </c>
      <c r="AO176" t="s">
        <v>2830</v>
      </c>
      <c r="AP176" t="s">
        <v>74</v>
      </c>
      <c r="AQ176" t="s">
        <v>74</v>
      </c>
      <c r="AR176" t="s">
        <v>2831</v>
      </c>
      <c r="AS176" t="s">
        <v>2832</v>
      </c>
      <c r="AT176" t="s">
        <v>2813</v>
      </c>
      <c r="AU176">
        <v>2003</v>
      </c>
      <c r="AV176">
        <v>68</v>
      </c>
      <c r="AW176">
        <v>4</v>
      </c>
      <c r="AX176" t="s">
        <v>74</v>
      </c>
      <c r="AY176" t="s">
        <v>74</v>
      </c>
      <c r="AZ176" t="s">
        <v>74</v>
      </c>
      <c r="BA176" t="s">
        <v>74</v>
      </c>
      <c r="BB176" t="s">
        <v>74</v>
      </c>
      <c r="BC176" t="s">
        <v>74</v>
      </c>
      <c r="BD176">
        <v>43001</v>
      </c>
      <c r="BE176" t="s">
        <v>2833</v>
      </c>
      <c r="BF176" t="str">
        <f>HYPERLINK("http://dx.doi.org/10.1103/PhysRevD.68.043001","http://dx.doi.org/10.1103/PhysRevD.68.043001")</f>
        <v>http://dx.doi.org/10.1103/PhysRevD.68.043001</v>
      </c>
      <c r="BG176" t="s">
        <v>74</v>
      </c>
      <c r="BH176" t="s">
        <v>74</v>
      </c>
      <c r="BI176">
        <v>8</v>
      </c>
      <c r="BJ176" t="s">
        <v>2834</v>
      </c>
      <c r="BK176" t="s">
        <v>94</v>
      </c>
      <c r="BL176" t="s">
        <v>2835</v>
      </c>
      <c r="BM176" t="s">
        <v>2836</v>
      </c>
      <c r="BN176" t="s">
        <v>74</v>
      </c>
      <c r="BO176" t="s">
        <v>1767</v>
      </c>
      <c r="BP176" t="s">
        <v>74</v>
      </c>
      <c r="BQ176" t="s">
        <v>74</v>
      </c>
      <c r="BR176" t="s">
        <v>97</v>
      </c>
      <c r="BS176" t="s">
        <v>2837</v>
      </c>
      <c r="BT176" t="str">
        <f>HYPERLINK("https%3A%2F%2Fwww.webofscience.com%2Fwos%2Fwoscc%2Ffull-record%2FWOS:000185235500008","View Full Record in Web of Science")</f>
        <v>View Full Record in Web of Science</v>
      </c>
    </row>
    <row r="177" spans="1:72" x14ac:dyDescent="0.15">
      <c r="A177" t="s">
        <v>72</v>
      </c>
      <c r="B177" t="s">
        <v>2838</v>
      </c>
      <c r="C177" t="s">
        <v>74</v>
      </c>
      <c r="D177" t="s">
        <v>74</v>
      </c>
      <c r="E177" t="s">
        <v>74</v>
      </c>
      <c r="F177" t="s">
        <v>2838</v>
      </c>
      <c r="G177" t="s">
        <v>74</v>
      </c>
      <c r="H177" t="s">
        <v>74</v>
      </c>
      <c r="I177" t="s">
        <v>2839</v>
      </c>
      <c r="J177" t="s">
        <v>2741</v>
      </c>
      <c r="K177" t="s">
        <v>74</v>
      </c>
      <c r="L177" t="s">
        <v>74</v>
      </c>
      <c r="M177" t="s">
        <v>77</v>
      </c>
      <c r="N177" t="s">
        <v>78</v>
      </c>
      <c r="O177" t="s">
        <v>74</v>
      </c>
      <c r="P177" t="s">
        <v>74</v>
      </c>
      <c r="Q177" t="s">
        <v>74</v>
      </c>
      <c r="R177" t="s">
        <v>74</v>
      </c>
      <c r="S177" t="s">
        <v>74</v>
      </c>
      <c r="T177" t="s">
        <v>74</v>
      </c>
      <c r="U177" t="s">
        <v>2840</v>
      </c>
      <c r="V177" t="s">
        <v>2841</v>
      </c>
      <c r="W177" t="s">
        <v>2842</v>
      </c>
      <c r="X177" t="s">
        <v>2843</v>
      </c>
      <c r="Y177" t="s">
        <v>2844</v>
      </c>
      <c r="Z177" t="s">
        <v>74</v>
      </c>
      <c r="AA177" t="s">
        <v>2845</v>
      </c>
      <c r="AB177" t="s">
        <v>2846</v>
      </c>
      <c r="AC177" t="s">
        <v>2847</v>
      </c>
      <c r="AD177" t="s">
        <v>2848</v>
      </c>
      <c r="AE177" t="s">
        <v>74</v>
      </c>
      <c r="AF177" t="s">
        <v>74</v>
      </c>
      <c r="AG177">
        <v>39</v>
      </c>
      <c r="AH177">
        <v>251</v>
      </c>
      <c r="AI177">
        <v>276</v>
      </c>
      <c r="AJ177">
        <v>4</v>
      </c>
      <c r="AK177">
        <v>57</v>
      </c>
      <c r="AL177" t="s">
        <v>2750</v>
      </c>
      <c r="AM177" t="s">
        <v>540</v>
      </c>
      <c r="AN177" t="s">
        <v>2751</v>
      </c>
      <c r="AO177" t="s">
        <v>2752</v>
      </c>
      <c r="AP177" t="s">
        <v>74</v>
      </c>
      <c r="AQ177" t="s">
        <v>74</v>
      </c>
      <c r="AR177" t="s">
        <v>2741</v>
      </c>
      <c r="AS177" t="s">
        <v>2754</v>
      </c>
      <c r="AT177" t="s">
        <v>2813</v>
      </c>
      <c r="AU177">
        <v>2003</v>
      </c>
      <c r="AV177">
        <v>301</v>
      </c>
      <c r="AW177">
        <v>5635</v>
      </c>
      <c r="AX177" t="s">
        <v>74</v>
      </c>
      <c r="AY177" t="s">
        <v>74</v>
      </c>
      <c r="AZ177" t="s">
        <v>74</v>
      </c>
      <c r="BA177" t="s">
        <v>74</v>
      </c>
      <c r="BB177">
        <v>948</v>
      </c>
      <c r="BC177">
        <v>952</v>
      </c>
      <c r="BD177" t="s">
        <v>74</v>
      </c>
      <c r="BE177" t="s">
        <v>2849</v>
      </c>
      <c r="BF177" t="str">
        <f>HYPERLINK("http://dx.doi.org/10.1126/science.1084451","http://dx.doi.org/10.1126/science.1084451")</f>
        <v>http://dx.doi.org/10.1126/science.1084451</v>
      </c>
      <c r="BG177" t="s">
        <v>74</v>
      </c>
      <c r="BH177" t="s">
        <v>74</v>
      </c>
      <c r="BI177">
        <v>5</v>
      </c>
      <c r="BJ177" t="s">
        <v>971</v>
      </c>
      <c r="BK177" t="s">
        <v>94</v>
      </c>
      <c r="BL177" t="s">
        <v>972</v>
      </c>
      <c r="BM177" t="s">
        <v>2850</v>
      </c>
      <c r="BN177">
        <v>12920294</v>
      </c>
      <c r="BO177" t="s">
        <v>74</v>
      </c>
      <c r="BP177" t="s">
        <v>74</v>
      </c>
      <c r="BQ177" t="s">
        <v>74</v>
      </c>
      <c r="BR177" t="s">
        <v>97</v>
      </c>
      <c r="BS177" t="s">
        <v>2851</v>
      </c>
      <c r="BT177" t="str">
        <f>HYPERLINK("https%3A%2F%2Fwww.webofscience.com%2Fwos%2Fwoscc%2Ffull-record%2FWOS:000184755900034","View Full Record in Web of Science")</f>
        <v>View Full Record in Web of Science</v>
      </c>
    </row>
    <row r="178" spans="1:72" x14ac:dyDescent="0.15">
      <c r="A178" t="s">
        <v>72</v>
      </c>
      <c r="B178" t="s">
        <v>2852</v>
      </c>
      <c r="C178" t="s">
        <v>74</v>
      </c>
      <c r="D178" t="s">
        <v>74</v>
      </c>
      <c r="E178" t="s">
        <v>74</v>
      </c>
      <c r="F178" t="s">
        <v>2852</v>
      </c>
      <c r="G178" t="s">
        <v>74</v>
      </c>
      <c r="H178" t="s">
        <v>74</v>
      </c>
      <c r="I178" t="s">
        <v>2853</v>
      </c>
      <c r="J178" t="s">
        <v>530</v>
      </c>
      <c r="K178" t="s">
        <v>74</v>
      </c>
      <c r="L178" t="s">
        <v>74</v>
      </c>
      <c r="M178" t="s">
        <v>77</v>
      </c>
      <c r="N178" t="s">
        <v>78</v>
      </c>
      <c r="O178" t="s">
        <v>74</v>
      </c>
      <c r="P178" t="s">
        <v>74</v>
      </c>
      <c r="Q178" t="s">
        <v>74</v>
      </c>
      <c r="R178" t="s">
        <v>74</v>
      </c>
      <c r="S178" t="s">
        <v>74</v>
      </c>
      <c r="T178" t="s">
        <v>74</v>
      </c>
      <c r="U178" t="s">
        <v>2854</v>
      </c>
      <c r="V178" t="s">
        <v>2855</v>
      </c>
      <c r="W178" t="s">
        <v>2856</v>
      </c>
      <c r="X178" t="s">
        <v>2857</v>
      </c>
      <c r="Y178" t="s">
        <v>2858</v>
      </c>
      <c r="Z178" t="s">
        <v>2859</v>
      </c>
      <c r="AA178" t="s">
        <v>2860</v>
      </c>
      <c r="AB178" t="s">
        <v>2861</v>
      </c>
      <c r="AC178" t="s">
        <v>74</v>
      </c>
      <c r="AD178" t="s">
        <v>74</v>
      </c>
      <c r="AE178" t="s">
        <v>74</v>
      </c>
      <c r="AF178" t="s">
        <v>74</v>
      </c>
      <c r="AG178">
        <v>23</v>
      </c>
      <c r="AH178">
        <v>48</v>
      </c>
      <c r="AI178">
        <v>50</v>
      </c>
      <c r="AJ178">
        <v>0</v>
      </c>
      <c r="AK178">
        <v>6</v>
      </c>
      <c r="AL178" t="s">
        <v>539</v>
      </c>
      <c r="AM178" t="s">
        <v>540</v>
      </c>
      <c r="AN178" t="s">
        <v>541</v>
      </c>
      <c r="AO178" t="s">
        <v>542</v>
      </c>
      <c r="AP178" t="s">
        <v>543</v>
      </c>
      <c r="AQ178" t="s">
        <v>74</v>
      </c>
      <c r="AR178" t="s">
        <v>544</v>
      </c>
      <c r="AS178" t="s">
        <v>545</v>
      </c>
      <c r="AT178" t="s">
        <v>2862</v>
      </c>
      <c r="AU178">
        <v>2003</v>
      </c>
      <c r="AV178">
        <v>30</v>
      </c>
      <c r="AW178">
        <v>15</v>
      </c>
      <c r="AX178" t="s">
        <v>74</v>
      </c>
      <c r="AY178" t="s">
        <v>74</v>
      </c>
      <c r="AZ178" t="s">
        <v>74</v>
      </c>
      <c r="BA178" t="s">
        <v>74</v>
      </c>
      <c r="BB178" t="s">
        <v>74</v>
      </c>
      <c r="BC178" t="s">
        <v>74</v>
      </c>
      <c r="BD178">
        <v>1818</v>
      </c>
      <c r="BE178" t="s">
        <v>2863</v>
      </c>
      <c r="BF178" t="str">
        <f>HYPERLINK("http://dx.doi.org/10.1029/2003GL017265","http://dx.doi.org/10.1029/2003GL017265")</f>
        <v>http://dx.doi.org/10.1029/2003GL017265</v>
      </c>
      <c r="BG178" t="s">
        <v>74</v>
      </c>
      <c r="BH178" t="s">
        <v>74</v>
      </c>
      <c r="BI178">
        <v>4</v>
      </c>
      <c r="BJ178" t="s">
        <v>548</v>
      </c>
      <c r="BK178" t="s">
        <v>94</v>
      </c>
      <c r="BL178" t="s">
        <v>549</v>
      </c>
      <c r="BM178" t="s">
        <v>2864</v>
      </c>
      <c r="BN178" t="s">
        <v>74</v>
      </c>
      <c r="BO178" t="s">
        <v>96</v>
      </c>
      <c r="BP178" t="s">
        <v>74</v>
      </c>
      <c r="BQ178" t="s">
        <v>74</v>
      </c>
      <c r="BR178" t="s">
        <v>97</v>
      </c>
      <c r="BS178" t="s">
        <v>2865</v>
      </c>
      <c r="BT178" t="str">
        <f>HYPERLINK("https%3A%2F%2Fwww.webofscience.com%2Fwos%2Fwoscc%2Ffull-record%2FWOS:000184867400002","View Full Record in Web of Science")</f>
        <v>View Full Record in Web of Science</v>
      </c>
    </row>
    <row r="179" spans="1:72" x14ac:dyDescent="0.15">
      <c r="A179" t="s">
        <v>72</v>
      </c>
      <c r="B179" t="s">
        <v>2866</v>
      </c>
      <c r="C179" t="s">
        <v>74</v>
      </c>
      <c r="D179" t="s">
        <v>74</v>
      </c>
      <c r="E179" t="s">
        <v>74</v>
      </c>
      <c r="F179" t="s">
        <v>2866</v>
      </c>
      <c r="G179" t="s">
        <v>74</v>
      </c>
      <c r="H179" t="s">
        <v>74</v>
      </c>
      <c r="I179" t="s">
        <v>2867</v>
      </c>
      <c r="J179" t="s">
        <v>578</v>
      </c>
      <c r="K179" t="s">
        <v>74</v>
      </c>
      <c r="L179" t="s">
        <v>74</v>
      </c>
      <c r="M179" t="s">
        <v>77</v>
      </c>
      <c r="N179" t="s">
        <v>78</v>
      </c>
      <c r="O179" t="s">
        <v>74</v>
      </c>
      <c r="P179" t="s">
        <v>74</v>
      </c>
      <c r="Q179" t="s">
        <v>74</v>
      </c>
      <c r="R179" t="s">
        <v>74</v>
      </c>
      <c r="S179" t="s">
        <v>74</v>
      </c>
      <c r="T179" t="s">
        <v>2868</v>
      </c>
      <c r="U179" t="s">
        <v>2869</v>
      </c>
      <c r="V179" t="s">
        <v>2870</v>
      </c>
      <c r="W179" t="s">
        <v>2871</v>
      </c>
      <c r="X179" t="s">
        <v>2872</v>
      </c>
      <c r="Y179" t="s">
        <v>2873</v>
      </c>
      <c r="Z179" t="s">
        <v>2874</v>
      </c>
      <c r="AA179" t="s">
        <v>2875</v>
      </c>
      <c r="AB179" t="s">
        <v>2876</v>
      </c>
      <c r="AC179" t="s">
        <v>74</v>
      </c>
      <c r="AD179" t="s">
        <v>74</v>
      </c>
      <c r="AE179" t="s">
        <v>74</v>
      </c>
      <c r="AF179" t="s">
        <v>74</v>
      </c>
      <c r="AG179">
        <v>35</v>
      </c>
      <c r="AH179">
        <v>45</v>
      </c>
      <c r="AI179">
        <v>54</v>
      </c>
      <c r="AJ179">
        <v>1</v>
      </c>
      <c r="AK179">
        <v>22</v>
      </c>
      <c r="AL179" t="s">
        <v>539</v>
      </c>
      <c r="AM179" t="s">
        <v>540</v>
      </c>
      <c r="AN179" t="s">
        <v>541</v>
      </c>
      <c r="AO179" t="s">
        <v>588</v>
      </c>
      <c r="AP179" t="s">
        <v>605</v>
      </c>
      <c r="AQ179" t="s">
        <v>74</v>
      </c>
      <c r="AR179" t="s">
        <v>589</v>
      </c>
      <c r="AS179" t="s">
        <v>590</v>
      </c>
      <c r="AT179" t="s">
        <v>2862</v>
      </c>
      <c r="AU179">
        <v>2003</v>
      </c>
      <c r="AV179">
        <v>108</v>
      </c>
      <c r="AW179" t="s">
        <v>2877</v>
      </c>
      <c r="AX179" t="s">
        <v>74</v>
      </c>
      <c r="AY179" t="s">
        <v>74</v>
      </c>
      <c r="AZ179" t="s">
        <v>74</v>
      </c>
      <c r="BA179" t="s">
        <v>74</v>
      </c>
      <c r="BB179" t="s">
        <v>74</v>
      </c>
      <c r="BC179" t="s">
        <v>74</v>
      </c>
      <c r="BD179">
        <v>4475</v>
      </c>
      <c r="BE179" t="s">
        <v>2878</v>
      </c>
      <c r="BF179" t="str">
        <f>HYPERLINK("http://dx.doi.org/10.1029/2002JD003206","http://dx.doi.org/10.1029/2002JD003206")</f>
        <v>http://dx.doi.org/10.1029/2002JD003206</v>
      </c>
      <c r="BG179" t="s">
        <v>74</v>
      </c>
      <c r="BH179" t="s">
        <v>74</v>
      </c>
      <c r="BI179">
        <v>12</v>
      </c>
      <c r="BJ179" t="s">
        <v>93</v>
      </c>
      <c r="BK179" t="s">
        <v>94</v>
      </c>
      <c r="BL179" t="s">
        <v>93</v>
      </c>
      <c r="BM179" t="s">
        <v>2879</v>
      </c>
      <c r="BN179" t="s">
        <v>74</v>
      </c>
      <c r="BO179" t="s">
        <v>96</v>
      </c>
      <c r="BP179" t="s">
        <v>74</v>
      </c>
      <c r="BQ179" t="s">
        <v>74</v>
      </c>
      <c r="BR179" t="s">
        <v>97</v>
      </c>
      <c r="BS179" t="s">
        <v>2880</v>
      </c>
      <c r="BT179" t="str">
        <f>HYPERLINK("https%3A%2F%2Fwww.webofscience.com%2Fwos%2Fwoscc%2Ffull-record%2FWOS:000184868100002","View Full Record in Web of Science")</f>
        <v>View Full Record in Web of Science</v>
      </c>
    </row>
    <row r="180" spans="1:72" x14ac:dyDescent="0.15">
      <c r="A180" t="s">
        <v>72</v>
      </c>
      <c r="B180" t="s">
        <v>2881</v>
      </c>
      <c r="C180" t="s">
        <v>74</v>
      </c>
      <c r="D180" t="s">
        <v>74</v>
      </c>
      <c r="E180" t="s">
        <v>74</v>
      </c>
      <c r="F180" t="s">
        <v>2881</v>
      </c>
      <c r="G180" t="s">
        <v>74</v>
      </c>
      <c r="H180" t="s">
        <v>74</v>
      </c>
      <c r="I180" t="s">
        <v>2882</v>
      </c>
      <c r="J180" t="s">
        <v>578</v>
      </c>
      <c r="K180" t="s">
        <v>74</v>
      </c>
      <c r="L180" t="s">
        <v>74</v>
      </c>
      <c r="M180" t="s">
        <v>77</v>
      </c>
      <c r="N180" t="s">
        <v>78</v>
      </c>
      <c r="O180" t="s">
        <v>74</v>
      </c>
      <c r="P180" t="s">
        <v>74</v>
      </c>
      <c r="Q180" t="s">
        <v>74</v>
      </c>
      <c r="R180" t="s">
        <v>74</v>
      </c>
      <c r="S180" t="s">
        <v>74</v>
      </c>
      <c r="T180" t="s">
        <v>74</v>
      </c>
      <c r="U180" t="s">
        <v>2883</v>
      </c>
      <c r="V180" t="s">
        <v>2884</v>
      </c>
      <c r="W180" t="s">
        <v>2885</v>
      </c>
      <c r="X180" t="s">
        <v>2886</v>
      </c>
      <c r="Y180" t="s">
        <v>2887</v>
      </c>
      <c r="Z180" t="s">
        <v>2888</v>
      </c>
      <c r="AA180" t="s">
        <v>2889</v>
      </c>
      <c r="AB180" t="s">
        <v>2890</v>
      </c>
      <c r="AC180" t="s">
        <v>74</v>
      </c>
      <c r="AD180" t="s">
        <v>74</v>
      </c>
      <c r="AE180" t="s">
        <v>74</v>
      </c>
      <c r="AF180" t="s">
        <v>74</v>
      </c>
      <c r="AG180">
        <v>49</v>
      </c>
      <c r="AH180">
        <v>71</v>
      </c>
      <c r="AI180">
        <v>81</v>
      </c>
      <c r="AJ180">
        <v>0</v>
      </c>
      <c r="AK180">
        <v>22</v>
      </c>
      <c r="AL180" t="s">
        <v>539</v>
      </c>
      <c r="AM180" t="s">
        <v>540</v>
      </c>
      <c r="AN180" t="s">
        <v>541</v>
      </c>
      <c r="AO180" t="s">
        <v>588</v>
      </c>
      <c r="AP180" t="s">
        <v>74</v>
      </c>
      <c r="AQ180" t="s">
        <v>74</v>
      </c>
      <c r="AR180" t="s">
        <v>589</v>
      </c>
      <c r="AS180" t="s">
        <v>590</v>
      </c>
      <c r="AT180" t="s">
        <v>2862</v>
      </c>
      <c r="AU180">
        <v>2003</v>
      </c>
      <c r="AV180">
        <v>108</v>
      </c>
      <c r="AW180" t="s">
        <v>2877</v>
      </c>
      <c r="AX180" t="s">
        <v>74</v>
      </c>
      <c r="AY180" t="s">
        <v>74</v>
      </c>
      <c r="AZ180" t="s">
        <v>74</v>
      </c>
      <c r="BA180" t="s">
        <v>74</v>
      </c>
      <c r="BB180" t="s">
        <v>74</v>
      </c>
      <c r="BC180" t="s">
        <v>74</v>
      </c>
      <c r="BD180">
        <v>4476</v>
      </c>
      <c r="BE180" t="s">
        <v>2891</v>
      </c>
      <c r="BF180" t="str">
        <f>HYPERLINK("http://dx.doi.org/10.1029/2003JD003613","http://dx.doi.org/10.1029/2003JD003613")</f>
        <v>http://dx.doi.org/10.1029/2003JD003613</v>
      </c>
      <c r="BG180" t="s">
        <v>74</v>
      </c>
      <c r="BH180" t="s">
        <v>74</v>
      </c>
      <c r="BI180">
        <v>17</v>
      </c>
      <c r="BJ180" t="s">
        <v>93</v>
      </c>
      <c r="BK180" t="s">
        <v>94</v>
      </c>
      <c r="BL180" t="s">
        <v>93</v>
      </c>
      <c r="BM180" t="s">
        <v>2879</v>
      </c>
      <c r="BN180" t="s">
        <v>74</v>
      </c>
      <c r="BO180" t="s">
        <v>96</v>
      </c>
      <c r="BP180" t="s">
        <v>74</v>
      </c>
      <c r="BQ180" t="s">
        <v>74</v>
      </c>
      <c r="BR180" t="s">
        <v>97</v>
      </c>
      <c r="BS180" t="s">
        <v>2892</v>
      </c>
      <c r="BT180" t="str">
        <f>HYPERLINK("https%3A%2F%2Fwww.webofscience.com%2Fwos%2Fwoscc%2Ffull-record%2FWOS:000184868100004","View Full Record in Web of Science")</f>
        <v>View Full Record in Web of Science</v>
      </c>
    </row>
    <row r="181" spans="1:72" x14ac:dyDescent="0.15">
      <c r="A181" t="s">
        <v>72</v>
      </c>
      <c r="B181" t="s">
        <v>2893</v>
      </c>
      <c r="C181" t="s">
        <v>74</v>
      </c>
      <c r="D181" t="s">
        <v>74</v>
      </c>
      <c r="E181" t="s">
        <v>74</v>
      </c>
      <c r="F181" t="s">
        <v>2893</v>
      </c>
      <c r="G181" t="s">
        <v>74</v>
      </c>
      <c r="H181" t="s">
        <v>74</v>
      </c>
      <c r="I181" t="s">
        <v>2894</v>
      </c>
      <c r="J181" t="s">
        <v>665</v>
      </c>
      <c r="K181" t="s">
        <v>74</v>
      </c>
      <c r="L181" t="s">
        <v>74</v>
      </c>
      <c r="M181" t="s">
        <v>77</v>
      </c>
      <c r="N181" t="s">
        <v>78</v>
      </c>
      <c r="O181" t="s">
        <v>74</v>
      </c>
      <c r="P181" t="s">
        <v>74</v>
      </c>
      <c r="Q181" t="s">
        <v>74</v>
      </c>
      <c r="R181" t="s">
        <v>74</v>
      </c>
      <c r="S181" t="s">
        <v>74</v>
      </c>
      <c r="T181" t="s">
        <v>2895</v>
      </c>
      <c r="U181" t="s">
        <v>2896</v>
      </c>
      <c r="V181" t="s">
        <v>2897</v>
      </c>
      <c r="W181" t="s">
        <v>2898</v>
      </c>
      <c r="X181" t="s">
        <v>2899</v>
      </c>
      <c r="Y181" t="s">
        <v>269</v>
      </c>
      <c r="Z181" t="s">
        <v>2900</v>
      </c>
      <c r="AA181" t="s">
        <v>2901</v>
      </c>
      <c r="AB181" t="s">
        <v>2902</v>
      </c>
      <c r="AC181" t="s">
        <v>74</v>
      </c>
      <c r="AD181" t="s">
        <v>74</v>
      </c>
      <c r="AE181" t="s">
        <v>74</v>
      </c>
      <c r="AF181" t="s">
        <v>74</v>
      </c>
      <c r="AG181">
        <v>29</v>
      </c>
      <c r="AH181">
        <v>45</v>
      </c>
      <c r="AI181">
        <v>47</v>
      </c>
      <c r="AJ181">
        <v>1</v>
      </c>
      <c r="AK181">
        <v>10</v>
      </c>
      <c r="AL181" t="s">
        <v>539</v>
      </c>
      <c r="AM181" t="s">
        <v>540</v>
      </c>
      <c r="AN181" t="s">
        <v>541</v>
      </c>
      <c r="AO181" t="s">
        <v>672</v>
      </c>
      <c r="AP181" t="s">
        <v>673</v>
      </c>
      <c r="AQ181" t="s">
        <v>74</v>
      </c>
      <c r="AR181" t="s">
        <v>674</v>
      </c>
      <c r="AS181" t="s">
        <v>675</v>
      </c>
      <c r="AT181" t="s">
        <v>2862</v>
      </c>
      <c r="AU181">
        <v>2003</v>
      </c>
      <c r="AV181">
        <v>108</v>
      </c>
      <c r="AW181" t="s">
        <v>2687</v>
      </c>
      <c r="AX181" t="s">
        <v>74</v>
      </c>
      <c r="AY181" t="s">
        <v>74</v>
      </c>
      <c r="AZ181" t="s">
        <v>74</v>
      </c>
      <c r="BA181" t="s">
        <v>74</v>
      </c>
      <c r="BB181" t="s">
        <v>74</v>
      </c>
      <c r="BC181" t="s">
        <v>74</v>
      </c>
      <c r="BD181">
        <v>3260</v>
      </c>
      <c r="BE181" t="s">
        <v>2903</v>
      </c>
      <c r="BF181" t="str">
        <f>HYPERLINK("http://dx.doi.org/10.1029/2002JC001713","http://dx.doi.org/10.1029/2002JC001713")</f>
        <v>http://dx.doi.org/10.1029/2002JC001713</v>
      </c>
      <c r="BG181" t="s">
        <v>74</v>
      </c>
      <c r="BH181" t="s">
        <v>74</v>
      </c>
      <c r="BI181">
        <v>15</v>
      </c>
      <c r="BJ181" t="s">
        <v>678</v>
      </c>
      <c r="BK181" t="s">
        <v>94</v>
      </c>
      <c r="BL181" t="s">
        <v>678</v>
      </c>
      <c r="BM181" t="s">
        <v>2904</v>
      </c>
      <c r="BN181" t="s">
        <v>74</v>
      </c>
      <c r="BO181" t="s">
        <v>628</v>
      </c>
      <c r="BP181" t="s">
        <v>74</v>
      </c>
      <c r="BQ181" t="s">
        <v>74</v>
      </c>
      <c r="BR181" t="s">
        <v>97</v>
      </c>
      <c r="BS181" t="s">
        <v>2905</v>
      </c>
      <c r="BT181" t="str">
        <f>HYPERLINK("https%3A%2F%2Fwww.webofscience.com%2Fwos%2Fwoscc%2Ffull-record%2FWOS:000184869100002","View Full Record in Web of Science")</f>
        <v>View Full Record in Web of Science</v>
      </c>
    </row>
    <row r="182" spans="1:72" x14ac:dyDescent="0.15">
      <c r="A182" t="s">
        <v>72</v>
      </c>
      <c r="B182" t="s">
        <v>2906</v>
      </c>
      <c r="C182" t="s">
        <v>74</v>
      </c>
      <c r="D182" t="s">
        <v>74</v>
      </c>
      <c r="E182" t="s">
        <v>74</v>
      </c>
      <c r="F182" t="s">
        <v>2906</v>
      </c>
      <c r="G182" t="s">
        <v>74</v>
      </c>
      <c r="H182" t="s">
        <v>74</v>
      </c>
      <c r="I182" t="s">
        <v>2907</v>
      </c>
      <c r="J182" t="s">
        <v>728</v>
      </c>
      <c r="K182" t="s">
        <v>74</v>
      </c>
      <c r="L182" t="s">
        <v>74</v>
      </c>
      <c r="M182" t="s">
        <v>77</v>
      </c>
      <c r="N182" t="s">
        <v>78</v>
      </c>
      <c r="O182" t="s">
        <v>74</v>
      </c>
      <c r="P182" t="s">
        <v>74</v>
      </c>
      <c r="Q182" t="s">
        <v>74</v>
      </c>
      <c r="R182" t="s">
        <v>74</v>
      </c>
      <c r="S182" t="s">
        <v>74</v>
      </c>
      <c r="T182" t="s">
        <v>74</v>
      </c>
      <c r="U182" t="s">
        <v>2908</v>
      </c>
      <c r="V182" t="s">
        <v>2909</v>
      </c>
      <c r="W182" t="s">
        <v>2910</v>
      </c>
      <c r="X182" t="s">
        <v>2911</v>
      </c>
      <c r="Y182" t="s">
        <v>2912</v>
      </c>
      <c r="Z182" t="s">
        <v>2913</v>
      </c>
      <c r="AA182" t="s">
        <v>2914</v>
      </c>
      <c r="AB182" t="s">
        <v>2915</v>
      </c>
      <c r="AC182" t="s">
        <v>74</v>
      </c>
      <c r="AD182" t="s">
        <v>74</v>
      </c>
      <c r="AE182" t="s">
        <v>74</v>
      </c>
      <c r="AF182" t="s">
        <v>74</v>
      </c>
      <c r="AG182">
        <v>47</v>
      </c>
      <c r="AH182">
        <v>54</v>
      </c>
      <c r="AI182">
        <v>58</v>
      </c>
      <c r="AJ182">
        <v>1</v>
      </c>
      <c r="AK182">
        <v>12</v>
      </c>
      <c r="AL182" t="s">
        <v>539</v>
      </c>
      <c r="AM182" t="s">
        <v>540</v>
      </c>
      <c r="AN182" t="s">
        <v>541</v>
      </c>
      <c r="AO182" t="s">
        <v>736</v>
      </c>
      <c r="AP182" t="s">
        <v>737</v>
      </c>
      <c r="AQ182" t="s">
        <v>74</v>
      </c>
      <c r="AR182" t="s">
        <v>738</v>
      </c>
      <c r="AS182" t="s">
        <v>739</v>
      </c>
      <c r="AT182" t="s">
        <v>2862</v>
      </c>
      <c r="AU182">
        <v>2003</v>
      </c>
      <c r="AV182">
        <v>108</v>
      </c>
      <c r="AW182" t="s">
        <v>2916</v>
      </c>
      <c r="AX182" t="s">
        <v>74</v>
      </c>
      <c r="AY182" t="s">
        <v>74</v>
      </c>
      <c r="AZ182" t="s">
        <v>74</v>
      </c>
      <c r="BA182" t="s">
        <v>74</v>
      </c>
      <c r="BB182" t="s">
        <v>74</v>
      </c>
      <c r="BC182" t="s">
        <v>74</v>
      </c>
      <c r="BD182">
        <v>2374</v>
      </c>
      <c r="BE182" t="s">
        <v>2917</v>
      </c>
      <c r="BF182" t="str">
        <f>HYPERLINK("http://dx.doi.org/10.1029/2002JB002056","http://dx.doi.org/10.1029/2002JB002056")</f>
        <v>http://dx.doi.org/10.1029/2002JB002056</v>
      </c>
      <c r="BG182" t="s">
        <v>74</v>
      </c>
      <c r="BH182" t="s">
        <v>74</v>
      </c>
      <c r="BI182">
        <v>11</v>
      </c>
      <c r="BJ182" t="s">
        <v>176</v>
      </c>
      <c r="BK182" t="s">
        <v>94</v>
      </c>
      <c r="BL182" t="s">
        <v>176</v>
      </c>
      <c r="BM182" t="s">
        <v>2918</v>
      </c>
      <c r="BN182" t="s">
        <v>74</v>
      </c>
      <c r="BO182" t="s">
        <v>74</v>
      </c>
      <c r="BP182" t="s">
        <v>74</v>
      </c>
      <c r="BQ182" t="s">
        <v>74</v>
      </c>
      <c r="BR182" t="s">
        <v>97</v>
      </c>
      <c r="BS182" t="s">
        <v>2919</v>
      </c>
      <c r="BT182" t="str">
        <f>HYPERLINK("https%3A%2F%2Fwww.webofscience.com%2Fwos%2Fwoscc%2Ffull-record%2FWOS:000184869700001","View Full Record in Web of Science")</f>
        <v>View Full Record in Web of Science</v>
      </c>
    </row>
    <row r="183" spans="1:72" x14ac:dyDescent="0.15">
      <c r="A183" t="s">
        <v>72</v>
      </c>
      <c r="B183" t="s">
        <v>2920</v>
      </c>
      <c r="C183" t="s">
        <v>74</v>
      </c>
      <c r="D183" t="s">
        <v>74</v>
      </c>
      <c r="E183" t="s">
        <v>74</v>
      </c>
      <c r="F183" t="s">
        <v>2920</v>
      </c>
      <c r="G183" t="s">
        <v>74</v>
      </c>
      <c r="H183" t="s">
        <v>74</v>
      </c>
      <c r="I183" t="s">
        <v>2921</v>
      </c>
      <c r="J183" t="s">
        <v>2922</v>
      </c>
      <c r="K183" t="s">
        <v>74</v>
      </c>
      <c r="L183" t="s">
        <v>74</v>
      </c>
      <c r="M183" t="s">
        <v>77</v>
      </c>
      <c r="N183" t="s">
        <v>78</v>
      </c>
      <c r="O183" t="s">
        <v>74</v>
      </c>
      <c r="P183" t="s">
        <v>74</v>
      </c>
      <c r="Q183" t="s">
        <v>74</v>
      </c>
      <c r="R183" t="s">
        <v>74</v>
      </c>
      <c r="S183" t="s">
        <v>74</v>
      </c>
      <c r="T183" t="s">
        <v>2923</v>
      </c>
      <c r="U183" t="s">
        <v>2924</v>
      </c>
      <c r="V183" t="s">
        <v>2925</v>
      </c>
      <c r="W183" t="s">
        <v>2926</v>
      </c>
      <c r="X183" t="s">
        <v>74</v>
      </c>
      <c r="Y183" t="s">
        <v>2927</v>
      </c>
      <c r="Z183" t="s">
        <v>2928</v>
      </c>
      <c r="AA183" t="s">
        <v>2929</v>
      </c>
      <c r="AB183" t="s">
        <v>2930</v>
      </c>
      <c r="AC183" t="s">
        <v>74</v>
      </c>
      <c r="AD183" t="s">
        <v>74</v>
      </c>
      <c r="AE183" t="s">
        <v>74</v>
      </c>
      <c r="AF183" t="s">
        <v>74</v>
      </c>
      <c r="AG183">
        <v>58</v>
      </c>
      <c r="AH183">
        <v>51</v>
      </c>
      <c r="AI183">
        <v>55</v>
      </c>
      <c r="AJ183">
        <v>0</v>
      </c>
      <c r="AK183">
        <v>33</v>
      </c>
      <c r="AL183" t="s">
        <v>781</v>
      </c>
      <c r="AM183" t="s">
        <v>111</v>
      </c>
      <c r="AN183" t="s">
        <v>782</v>
      </c>
      <c r="AO183" t="s">
        <v>2931</v>
      </c>
      <c r="AP183" t="s">
        <v>2932</v>
      </c>
      <c r="AQ183" t="s">
        <v>74</v>
      </c>
      <c r="AR183" t="s">
        <v>2933</v>
      </c>
      <c r="AS183" t="s">
        <v>2934</v>
      </c>
      <c r="AT183" t="s">
        <v>2935</v>
      </c>
      <c r="AU183">
        <v>2003</v>
      </c>
      <c r="AV183">
        <v>292</v>
      </c>
      <c r="AW183">
        <v>2</v>
      </c>
      <c r="AX183" t="s">
        <v>74</v>
      </c>
      <c r="AY183" t="s">
        <v>74</v>
      </c>
      <c r="AZ183" t="s">
        <v>74</v>
      </c>
      <c r="BA183" t="s">
        <v>74</v>
      </c>
      <c r="BB183">
        <v>231</v>
      </c>
      <c r="BC183">
        <v>242</v>
      </c>
      <c r="BD183" t="s">
        <v>74</v>
      </c>
      <c r="BE183" t="s">
        <v>2936</v>
      </c>
      <c r="BF183" t="str">
        <f>HYPERLINK("http://dx.doi.org/10.1016/S0022-0981(03)00199-0","http://dx.doi.org/10.1016/S0022-0981(03)00199-0")</f>
        <v>http://dx.doi.org/10.1016/S0022-0981(03)00199-0</v>
      </c>
      <c r="BG183" t="s">
        <v>74</v>
      </c>
      <c r="BH183" t="s">
        <v>74</v>
      </c>
      <c r="BI183">
        <v>12</v>
      </c>
      <c r="BJ183" t="s">
        <v>485</v>
      </c>
      <c r="BK183" t="s">
        <v>94</v>
      </c>
      <c r="BL183" t="s">
        <v>486</v>
      </c>
      <c r="BM183" t="s">
        <v>2937</v>
      </c>
      <c r="BN183" t="s">
        <v>74</v>
      </c>
      <c r="BO183" t="s">
        <v>74</v>
      </c>
      <c r="BP183" t="s">
        <v>74</v>
      </c>
      <c r="BQ183" t="s">
        <v>74</v>
      </c>
      <c r="BR183" t="s">
        <v>97</v>
      </c>
      <c r="BS183" t="s">
        <v>2938</v>
      </c>
      <c r="BT183" t="str">
        <f>HYPERLINK("https%3A%2F%2Fwww.webofscience.com%2Fwos%2Fwoscc%2Ffull-record%2FWOS:000184040800008","View Full Record in Web of Science")</f>
        <v>View Full Record in Web of Science</v>
      </c>
    </row>
    <row r="184" spans="1:72" x14ac:dyDescent="0.15">
      <c r="A184" t="s">
        <v>72</v>
      </c>
      <c r="B184" t="s">
        <v>2939</v>
      </c>
      <c r="C184" t="s">
        <v>74</v>
      </c>
      <c r="D184" t="s">
        <v>74</v>
      </c>
      <c r="E184" t="s">
        <v>74</v>
      </c>
      <c r="F184" t="s">
        <v>2939</v>
      </c>
      <c r="G184" t="s">
        <v>74</v>
      </c>
      <c r="H184" t="s">
        <v>74</v>
      </c>
      <c r="I184" t="s">
        <v>2940</v>
      </c>
      <c r="J184" t="s">
        <v>530</v>
      </c>
      <c r="K184" t="s">
        <v>74</v>
      </c>
      <c r="L184" t="s">
        <v>74</v>
      </c>
      <c r="M184" t="s">
        <v>77</v>
      </c>
      <c r="N184" t="s">
        <v>78</v>
      </c>
      <c r="O184" t="s">
        <v>74</v>
      </c>
      <c r="P184" t="s">
        <v>74</v>
      </c>
      <c r="Q184" t="s">
        <v>74</v>
      </c>
      <c r="R184" t="s">
        <v>74</v>
      </c>
      <c r="S184" t="s">
        <v>74</v>
      </c>
      <c r="T184" t="s">
        <v>74</v>
      </c>
      <c r="U184" t="s">
        <v>2941</v>
      </c>
      <c r="V184" t="s">
        <v>2942</v>
      </c>
      <c r="W184" t="s">
        <v>2943</v>
      </c>
      <c r="X184" t="s">
        <v>2944</v>
      </c>
      <c r="Y184" t="s">
        <v>2945</v>
      </c>
      <c r="Z184" t="s">
        <v>74</v>
      </c>
      <c r="AA184" t="s">
        <v>2946</v>
      </c>
      <c r="AB184" t="s">
        <v>2947</v>
      </c>
      <c r="AC184" t="s">
        <v>74</v>
      </c>
      <c r="AD184" t="s">
        <v>74</v>
      </c>
      <c r="AE184" t="s">
        <v>74</v>
      </c>
      <c r="AF184" t="s">
        <v>74</v>
      </c>
      <c r="AG184">
        <v>21</v>
      </c>
      <c r="AH184">
        <v>281</v>
      </c>
      <c r="AI184">
        <v>311</v>
      </c>
      <c r="AJ184">
        <v>4</v>
      </c>
      <c r="AK184">
        <v>89</v>
      </c>
      <c r="AL184" t="s">
        <v>539</v>
      </c>
      <c r="AM184" t="s">
        <v>540</v>
      </c>
      <c r="AN184" t="s">
        <v>541</v>
      </c>
      <c r="AO184" t="s">
        <v>542</v>
      </c>
      <c r="AP184" t="s">
        <v>74</v>
      </c>
      <c r="AQ184" t="s">
        <v>74</v>
      </c>
      <c r="AR184" t="s">
        <v>544</v>
      </c>
      <c r="AS184" t="s">
        <v>545</v>
      </c>
      <c r="AT184" t="s">
        <v>2948</v>
      </c>
      <c r="AU184">
        <v>2003</v>
      </c>
      <c r="AV184">
        <v>30</v>
      </c>
      <c r="AW184">
        <v>15</v>
      </c>
      <c r="AX184" t="s">
        <v>74</v>
      </c>
      <c r="AY184" t="s">
        <v>74</v>
      </c>
      <c r="AZ184" t="s">
        <v>74</v>
      </c>
      <c r="BA184" t="s">
        <v>74</v>
      </c>
      <c r="BB184" t="s">
        <v>74</v>
      </c>
      <c r="BC184" t="s">
        <v>74</v>
      </c>
      <c r="BD184">
        <v>1809</v>
      </c>
      <c r="BE184" t="s">
        <v>2949</v>
      </c>
      <c r="BF184" t="str">
        <f>HYPERLINK("http://dx.doi.org/10.1029/2003GL016889","http://dx.doi.org/10.1029/2003GL016889")</f>
        <v>http://dx.doi.org/10.1029/2003GL016889</v>
      </c>
      <c r="BG184" t="s">
        <v>74</v>
      </c>
      <c r="BH184" t="s">
        <v>74</v>
      </c>
      <c r="BI184">
        <v>4</v>
      </c>
      <c r="BJ184" t="s">
        <v>548</v>
      </c>
      <c r="BK184" t="s">
        <v>94</v>
      </c>
      <c r="BL184" t="s">
        <v>549</v>
      </c>
      <c r="BM184" t="s">
        <v>2950</v>
      </c>
      <c r="BN184" t="s">
        <v>74</v>
      </c>
      <c r="BO184" t="s">
        <v>96</v>
      </c>
      <c r="BP184" t="s">
        <v>74</v>
      </c>
      <c r="BQ184" t="s">
        <v>74</v>
      </c>
      <c r="BR184" t="s">
        <v>97</v>
      </c>
      <c r="BS184" t="s">
        <v>2951</v>
      </c>
      <c r="BT184" t="str">
        <f>HYPERLINK("https%3A%2F%2Fwww.webofscience.com%2Fwos%2Fwoscc%2Ffull-record%2FWOS:000184805000001","View Full Record in Web of Science")</f>
        <v>View Full Record in Web of Science</v>
      </c>
    </row>
    <row r="185" spans="1:72" x14ac:dyDescent="0.15">
      <c r="A185" t="s">
        <v>72</v>
      </c>
      <c r="B185" t="s">
        <v>2952</v>
      </c>
      <c r="C185" t="s">
        <v>74</v>
      </c>
      <c r="D185" t="s">
        <v>74</v>
      </c>
      <c r="E185" t="s">
        <v>74</v>
      </c>
      <c r="F185" t="s">
        <v>2952</v>
      </c>
      <c r="G185" t="s">
        <v>74</v>
      </c>
      <c r="H185" t="s">
        <v>74</v>
      </c>
      <c r="I185" t="s">
        <v>2953</v>
      </c>
      <c r="J185" t="s">
        <v>613</v>
      </c>
      <c r="K185" t="s">
        <v>74</v>
      </c>
      <c r="L185" t="s">
        <v>74</v>
      </c>
      <c r="M185" t="s">
        <v>77</v>
      </c>
      <c r="N185" t="s">
        <v>78</v>
      </c>
      <c r="O185" t="s">
        <v>74</v>
      </c>
      <c r="P185" t="s">
        <v>74</v>
      </c>
      <c r="Q185" t="s">
        <v>74</v>
      </c>
      <c r="R185" t="s">
        <v>74</v>
      </c>
      <c r="S185" t="s">
        <v>74</v>
      </c>
      <c r="T185" t="s">
        <v>2954</v>
      </c>
      <c r="U185" t="s">
        <v>2955</v>
      </c>
      <c r="V185" t="s">
        <v>2956</v>
      </c>
      <c r="W185" t="s">
        <v>2957</v>
      </c>
      <c r="X185" t="s">
        <v>2958</v>
      </c>
      <c r="Y185" t="s">
        <v>2959</v>
      </c>
      <c r="Z185" t="s">
        <v>74</v>
      </c>
      <c r="AA185" t="s">
        <v>2960</v>
      </c>
      <c r="AB185" t="s">
        <v>2961</v>
      </c>
      <c r="AC185" t="s">
        <v>74</v>
      </c>
      <c r="AD185" t="s">
        <v>74</v>
      </c>
      <c r="AE185" t="s">
        <v>74</v>
      </c>
      <c r="AF185" t="s">
        <v>74</v>
      </c>
      <c r="AG185">
        <v>60</v>
      </c>
      <c r="AH185">
        <v>29</v>
      </c>
      <c r="AI185">
        <v>36</v>
      </c>
      <c r="AJ185">
        <v>0</v>
      </c>
      <c r="AK185">
        <v>9</v>
      </c>
      <c r="AL185" t="s">
        <v>539</v>
      </c>
      <c r="AM185" t="s">
        <v>540</v>
      </c>
      <c r="AN185" t="s">
        <v>541</v>
      </c>
      <c r="AO185" t="s">
        <v>621</v>
      </c>
      <c r="AP185" t="s">
        <v>74</v>
      </c>
      <c r="AQ185" t="s">
        <v>74</v>
      </c>
      <c r="AR185" t="s">
        <v>613</v>
      </c>
      <c r="AS185" t="s">
        <v>623</v>
      </c>
      <c r="AT185" t="s">
        <v>2948</v>
      </c>
      <c r="AU185">
        <v>2003</v>
      </c>
      <c r="AV185">
        <v>18</v>
      </c>
      <c r="AW185">
        <v>3</v>
      </c>
      <c r="AX185" t="s">
        <v>74</v>
      </c>
      <c r="AY185" t="s">
        <v>74</v>
      </c>
      <c r="AZ185" t="s">
        <v>74</v>
      </c>
      <c r="BA185" t="s">
        <v>74</v>
      </c>
      <c r="BB185" t="s">
        <v>74</v>
      </c>
      <c r="BC185" t="s">
        <v>74</v>
      </c>
      <c r="BD185">
        <v>1067</v>
      </c>
      <c r="BE185" t="s">
        <v>2962</v>
      </c>
      <c r="BF185" t="str">
        <f>HYPERLINK("http://dx.doi.org/10.1029/2002PA000775","http://dx.doi.org/10.1029/2002PA000775")</f>
        <v>http://dx.doi.org/10.1029/2002PA000775</v>
      </c>
      <c r="BG185" t="s">
        <v>74</v>
      </c>
      <c r="BH185" t="s">
        <v>74</v>
      </c>
      <c r="BI185">
        <v>14</v>
      </c>
      <c r="BJ185" t="s">
        <v>625</v>
      </c>
      <c r="BK185" t="s">
        <v>94</v>
      </c>
      <c r="BL185" t="s">
        <v>626</v>
      </c>
      <c r="BM185" t="s">
        <v>2963</v>
      </c>
      <c r="BN185" t="s">
        <v>74</v>
      </c>
      <c r="BO185" t="s">
        <v>74</v>
      </c>
      <c r="BP185" t="s">
        <v>74</v>
      </c>
      <c r="BQ185" t="s">
        <v>74</v>
      </c>
      <c r="BR185" t="s">
        <v>97</v>
      </c>
      <c r="BS185" t="s">
        <v>2964</v>
      </c>
      <c r="BT185" t="str">
        <f>HYPERLINK("https%3A%2F%2Fwww.webofscience.com%2Fwos%2Fwoscc%2Ffull-record%2FWOS:000184827300001","View Full Record in Web of Science")</f>
        <v>View Full Record in Web of Science</v>
      </c>
    </row>
    <row r="186" spans="1:72" x14ac:dyDescent="0.15">
      <c r="A186" t="s">
        <v>72</v>
      </c>
      <c r="B186" t="s">
        <v>2965</v>
      </c>
      <c r="C186" t="s">
        <v>74</v>
      </c>
      <c r="D186" t="s">
        <v>74</v>
      </c>
      <c r="E186" t="s">
        <v>74</v>
      </c>
      <c r="F186" t="s">
        <v>2965</v>
      </c>
      <c r="G186" t="s">
        <v>74</v>
      </c>
      <c r="H186" t="s">
        <v>74</v>
      </c>
      <c r="I186" t="s">
        <v>2966</v>
      </c>
      <c r="J186" t="s">
        <v>2967</v>
      </c>
      <c r="K186" t="s">
        <v>74</v>
      </c>
      <c r="L186" t="s">
        <v>74</v>
      </c>
      <c r="M186" t="s">
        <v>77</v>
      </c>
      <c r="N186" t="s">
        <v>78</v>
      </c>
      <c r="O186" t="s">
        <v>74</v>
      </c>
      <c r="P186" t="s">
        <v>74</v>
      </c>
      <c r="Q186" t="s">
        <v>74</v>
      </c>
      <c r="R186" t="s">
        <v>74</v>
      </c>
      <c r="S186" t="s">
        <v>74</v>
      </c>
      <c r="T186" t="s">
        <v>2968</v>
      </c>
      <c r="U186" t="s">
        <v>2969</v>
      </c>
      <c r="V186" t="s">
        <v>2970</v>
      </c>
      <c r="W186" t="s">
        <v>2971</v>
      </c>
      <c r="X186" t="s">
        <v>2972</v>
      </c>
      <c r="Y186" t="s">
        <v>2973</v>
      </c>
      <c r="Z186" t="s">
        <v>74</v>
      </c>
      <c r="AA186" t="s">
        <v>2974</v>
      </c>
      <c r="AB186" t="s">
        <v>2975</v>
      </c>
      <c r="AC186" t="s">
        <v>74</v>
      </c>
      <c r="AD186" t="s">
        <v>74</v>
      </c>
      <c r="AE186" t="s">
        <v>74</v>
      </c>
      <c r="AF186" t="s">
        <v>74</v>
      </c>
      <c r="AG186">
        <v>18</v>
      </c>
      <c r="AH186">
        <v>12</v>
      </c>
      <c r="AI186">
        <v>16</v>
      </c>
      <c r="AJ186">
        <v>0</v>
      </c>
      <c r="AK186">
        <v>14</v>
      </c>
      <c r="AL186" t="s">
        <v>110</v>
      </c>
      <c r="AM186" t="s">
        <v>111</v>
      </c>
      <c r="AN186" t="s">
        <v>112</v>
      </c>
      <c r="AO186" t="s">
        <v>2976</v>
      </c>
      <c r="AP186" t="s">
        <v>74</v>
      </c>
      <c r="AQ186" t="s">
        <v>74</v>
      </c>
      <c r="AR186" t="s">
        <v>2977</v>
      </c>
      <c r="AS186" t="s">
        <v>2978</v>
      </c>
      <c r="AT186" t="s">
        <v>2979</v>
      </c>
      <c r="AU186">
        <v>2003</v>
      </c>
      <c r="AV186">
        <v>225</v>
      </c>
      <c r="AW186">
        <v>1</v>
      </c>
      <c r="AX186" t="s">
        <v>74</v>
      </c>
      <c r="AY186" t="s">
        <v>74</v>
      </c>
      <c r="AZ186" t="s">
        <v>74</v>
      </c>
      <c r="BA186" t="s">
        <v>74</v>
      </c>
      <c r="BB186">
        <v>137</v>
      </c>
      <c r="BC186">
        <v>142</v>
      </c>
      <c r="BD186" t="s">
        <v>74</v>
      </c>
      <c r="BE186" t="s">
        <v>2980</v>
      </c>
      <c r="BF186" t="str">
        <f>HYPERLINK("http://dx.doi.org/10.1016/S0378-1097(03)00503-2","http://dx.doi.org/10.1016/S0378-1097(03)00503-2")</f>
        <v>http://dx.doi.org/10.1016/S0378-1097(03)00503-2</v>
      </c>
      <c r="BG186" t="s">
        <v>74</v>
      </c>
      <c r="BH186" t="s">
        <v>74</v>
      </c>
      <c r="BI186">
        <v>6</v>
      </c>
      <c r="BJ186" t="s">
        <v>1912</v>
      </c>
      <c r="BK186" t="s">
        <v>94</v>
      </c>
      <c r="BL186" t="s">
        <v>1912</v>
      </c>
      <c r="BM186" t="s">
        <v>2981</v>
      </c>
      <c r="BN186">
        <v>12900032</v>
      </c>
      <c r="BO186" t="s">
        <v>96</v>
      </c>
      <c r="BP186" t="s">
        <v>74</v>
      </c>
      <c r="BQ186" t="s">
        <v>74</v>
      </c>
      <c r="BR186" t="s">
        <v>97</v>
      </c>
      <c r="BS186" t="s">
        <v>2982</v>
      </c>
      <c r="BT186" t="str">
        <f>HYPERLINK("https%3A%2F%2Fwww.webofscience.com%2Fwos%2Fwoscc%2Ffull-record%2FWOS:000184665700020","View Full Record in Web of Science")</f>
        <v>View Full Record in Web of Science</v>
      </c>
    </row>
    <row r="187" spans="1:72" x14ac:dyDescent="0.15">
      <c r="A187" t="s">
        <v>72</v>
      </c>
      <c r="B187" t="s">
        <v>2983</v>
      </c>
      <c r="C187" t="s">
        <v>74</v>
      </c>
      <c r="D187" t="s">
        <v>74</v>
      </c>
      <c r="E187" t="s">
        <v>74</v>
      </c>
      <c r="F187" t="s">
        <v>2983</v>
      </c>
      <c r="G187" t="s">
        <v>74</v>
      </c>
      <c r="H187" t="s">
        <v>74</v>
      </c>
      <c r="I187" t="s">
        <v>2984</v>
      </c>
      <c r="J187" t="s">
        <v>683</v>
      </c>
      <c r="K187" t="s">
        <v>74</v>
      </c>
      <c r="L187" t="s">
        <v>74</v>
      </c>
      <c r="M187" t="s">
        <v>77</v>
      </c>
      <c r="N187" t="s">
        <v>78</v>
      </c>
      <c r="O187" t="s">
        <v>74</v>
      </c>
      <c r="P187" t="s">
        <v>74</v>
      </c>
      <c r="Q187" t="s">
        <v>74</v>
      </c>
      <c r="R187" t="s">
        <v>74</v>
      </c>
      <c r="S187" t="s">
        <v>74</v>
      </c>
      <c r="T187" t="s">
        <v>2985</v>
      </c>
      <c r="U187" t="s">
        <v>2986</v>
      </c>
      <c r="V187" t="s">
        <v>2987</v>
      </c>
      <c r="W187" t="s">
        <v>2988</v>
      </c>
      <c r="X187" t="s">
        <v>2989</v>
      </c>
      <c r="Y187" t="s">
        <v>2990</v>
      </c>
      <c r="Z187" t="s">
        <v>74</v>
      </c>
      <c r="AA187" t="s">
        <v>2991</v>
      </c>
      <c r="AB187" t="s">
        <v>2992</v>
      </c>
      <c r="AC187" t="s">
        <v>74</v>
      </c>
      <c r="AD187" t="s">
        <v>74</v>
      </c>
      <c r="AE187" t="s">
        <v>74</v>
      </c>
      <c r="AF187" t="s">
        <v>74</v>
      </c>
      <c r="AG187">
        <v>95</v>
      </c>
      <c r="AH187">
        <v>61</v>
      </c>
      <c r="AI187">
        <v>64</v>
      </c>
      <c r="AJ187">
        <v>0</v>
      </c>
      <c r="AK187">
        <v>11</v>
      </c>
      <c r="AL187" t="s">
        <v>539</v>
      </c>
      <c r="AM187" t="s">
        <v>540</v>
      </c>
      <c r="AN187" t="s">
        <v>541</v>
      </c>
      <c r="AO187" t="s">
        <v>693</v>
      </c>
      <c r="AP187" t="s">
        <v>74</v>
      </c>
      <c r="AQ187" t="s">
        <v>74</v>
      </c>
      <c r="AR187" t="s">
        <v>694</v>
      </c>
      <c r="AS187" t="s">
        <v>695</v>
      </c>
      <c r="AT187" t="s">
        <v>2979</v>
      </c>
      <c r="AU187">
        <v>2003</v>
      </c>
      <c r="AV187">
        <v>4</v>
      </c>
      <c r="AW187" t="s">
        <v>74</v>
      </c>
      <c r="AX187" t="s">
        <v>74</v>
      </c>
      <c r="AY187" t="s">
        <v>74</v>
      </c>
      <c r="AZ187" t="s">
        <v>74</v>
      </c>
      <c r="BA187" t="s">
        <v>74</v>
      </c>
      <c r="BB187" t="s">
        <v>74</v>
      </c>
      <c r="BC187" t="s">
        <v>74</v>
      </c>
      <c r="BD187">
        <v>1068</v>
      </c>
      <c r="BE187" t="s">
        <v>2993</v>
      </c>
      <c r="BF187" t="str">
        <f>HYPERLINK("http://dx.doi.org/10.1029/2002GC000482","http://dx.doi.org/10.1029/2002GC000482")</f>
        <v>http://dx.doi.org/10.1029/2002GC000482</v>
      </c>
      <c r="BG187" t="s">
        <v>74</v>
      </c>
      <c r="BH187" t="s">
        <v>74</v>
      </c>
      <c r="BI187">
        <v>28</v>
      </c>
      <c r="BJ187" t="s">
        <v>176</v>
      </c>
      <c r="BK187" t="s">
        <v>94</v>
      </c>
      <c r="BL187" t="s">
        <v>176</v>
      </c>
      <c r="BM187" t="s">
        <v>2994</v>
      </c>
      <c r="BN187" t="s">
        <v>74</v>
      </c>
      <c r="BO187" t="s">
        <v>628</v>
      </c>
      <c r="BP187" t="s">
        <v>74</v>
      </c>
      <c r="BQ187" t="s">
        <v>74</v>
      </c>
      <c r="BR187" t="s">
        <v>97</v>
      </c>
      <c r="BS187" t="s">
        <v>2995</v>
      </c>
      <c r="BT187" t="str">
        <f>HYPERLINK("https%3A%2F%2Fwww.webofscience.com%2Fwos%2Fwoscc%2Ffull-record%2FWOS:000184804400003","View Full Record in Web of Science")</f>
        <v>View Full Record in Web of Science</v>
      </c>
    </row>
    <row r="188" spans="1:72" x14ac:dyDescent="0.15">
      <c r="A188" t="s">
        <v>72</v>
      </c>
      <c r="B188" t="s">
        <v>2996</v>
      </c>
      <c r="C188" t="s">
        <v>74</v>
      </c>
      <c r="D188" t="s">
        <v>74</v>
      </c>
      <c r="E188" t="s">
        <v>74</v>
      </c>
      <c r="F188" t="s">
        <v>2996</v>
      </c>
      <c r="G188" t="s">
        <v>74</v>
      </c>
      <c r="H188" t="s">
        <v>74</v>
      </c>
      <c r="I188" t="s">
        <v>2997</v>
      </c>
      <c r="J188" t="s">
        <v>645</v>
      </c>
      <c r="K188" t="s">
        <v>74</v>
      </c>
      <c r="L188" t="s">
        <v>74</v>
      </c>
      <c r="M188" t="s">
        <v>77</v>
      </c>
      <c r="N188" t="s">
        <v>78</v>
      </c>
      <c r="O188" t="s">
        <v>74</v>
      </c>
      <c r="P188" t="s">
        <v>74</v>
      </c>
      <c r="Q188" t="s">
        <v>74</v>
      </c>
      <c r="R188" t="s">
        <v>74</v>
      </c>
      <c r="S188" t="s">
        <v>74</v>
      </c>
      <c r="T188" t="s">
        <v>2998</v>
      </c>
      <c r="U188" t="s">
        <v>2999</v>
      </c>
      <c r="V188" t="s">
        <v>3000</v>
      </c>
      <c r="W188" t="s">
        <v>3001</v>
      </c>
      <c r="X188" t="s">
        <v>3002</v>
      </c>
      <c r="Y188" t="s">
        <v>3003</v>
      </c>
      <c r="Z188" t="s">
        <v>3004</v>
      </c>
      <c r="AA188" t="s">
        <v>3005</v>
      </c>
      <c r="AB188" t="s">
        <v>3006</v>
      </c>
      <c r="AC188" t="s">
        <v>74</v>
      </c>
      <c r="AD188" t="s">
        <v>74</v>
      </c>
      <c r="AE188" t="s">
        <v>74</v>
      </c>
      <c r="AF188" t="s">
        <v>74</v>
      </c>
      <c r="AG188">
        <v>68</v>
      </c>
      <c r="AH188">
        <v>112</v>
      </c>
      <c r="AI188">
        <v>127</v>
      </c>
      <c r="AJ188">
        <v>0</v>
      </c>
      <c r="AK188">
        <v>38</v>
      </c>
      <c r="AL188" t="s">
        <v>539</v>
      </c>
      <c r="AM188" t="s">
        <v>540</v>
      </c>
      <c r="AN188" t="s">
        <v>541</v>
      </c>
      <c r="AO188" t="s">
        <v>653</v>
      </c>
      <c r="AP188" t="s">
        <v>654</v>
      </c>
      <c r="AQ188" t="s">
        <v>74</v>
      </c>
      <c r="AR188" t="s">
        <v>655</v>
      </c>
      <c r="AS188" t="s">
        <v>656</v>
      </c>
      <c r="AT188" t="s">
        <v>2979</v>
      </c>
      <c r="AU188">
        <v>2003</v>
      </c>
      <c r="AV188">
        <v>17</v>
      </c>
      <c r="AW188">
        <v>3</v>
      </c>
      <c r="AX188" t="s">
        <v>74</v>
      </c>
      <c r="AY188" t="s">
        <v>74</v>
      </c>
      <c r="AZ188" t="s">
        <v>74</v>
      </c>
      <c r="BA188" t="s">
        <v>74</v>
      </c>
      <c r="BB188" t="s">
        <v>74</v>
      </c>
      <c r="BC188" t="s">
        <v>74</v>
      </c>
      <c r="BD188">
        <v>1081</v>
      </c>
      <c r="BE188" t="s">
        <v>3007</v>
      </c>
      <c r="BF188" t="str">
        <f>HYPERLINK("http://dx.doi.org/10.1029/2002GB001973","http://dx.doi.org/10.1029/2002GB001973")</f>
        <v>http://dx.doi.org/10.1029/2002GB001973</v>
      </c>
      <c r="BG188" t="s">
        <v>74</v>
      </c>
      <c r="BH188" t="s">
        <v>74</v>
      </c>
      <c r="BI188">
        <v>18</v>
      </c>
      <c r="BJ188" t="s">
        <v>659</v>
      </c>
      <c r="BK188" t="s">
        <v>94</v>
      </c>
      <c r="BL188" t="s">
        <v>660</v>
      </c>
      <c r="BM188" t="s">
        <v>3008</v>
      </c>
      <c r="BN188" t="s">
        <v>74</v>
      </c>
      <c r="BO188" t="s">
        <v>74</v>
      </c>
      <c r="BP188" t="s">
        <v>74</v>
      </c>
      <c r="BQ188" t="s">
        <v>74</v>
      </c>
      <c r="BR188" t="s">
        <v>97</v>
      </c>
      <c r="BS188" t="s">
        <v>3009</v>
      </c>
      <c r="BT188" t="str">
        <f>HYPERLINK("https%3A%2F%2Fwww.webofscience.com%2Fwos%2Fwoscc%2Ffull-record%2FWOS:000184805400001","View Full Record in Web of Science")</f>
        <v>View Full Record in Web of Science</v>
      </c>
    </row>
    <row r="189" spans="1:72" x14ac:dyDescent="0.15">
      <c r="A189" t="s">
        <v>72</v>
      </c>
      <c r="B189" t="s">
        <v>3010</v>
      </c>
      <c r="C189" t="s">
        <v>74</v>
      </c>
      <c r="D189" t="s">
        <v>74</v>
      </c>
      <c r="E189" t="s">
        <v>74</v>
      </c>
      <c r="F189" t="s">
        <v>3010</v>
      </c>
      <c r="G189" t="s">
        <v>74</v>
      </c>
      <c r="H189" t="s">
        <v>74</v>
      </c>
      <c r="I189" t="s">
        <v>3011</v>
      </c>
      <c r="J189" t="s">
        <v>683</v>
      </c>
      <c r="K189" t="s">
        <v>74</v>
      </c>
      <c r="L189" t="s">
        <v>74</v>
      </c>
      <c r="M189" t="s">
        <v>77</v>
      </c>
      <c r="N189" t="s">
        <v>78</v>
      </c>
      <c r="O189" t="s">
        <v>74</v>
      </c>
      <c r="P189" t="s">
        <v>74</v>
      </c>
      <c r="Q189" t="s">
        <v>74</v>
      </c>
      <c r="R189" t="s">
        <v>74</v>
      </c>
      <c r="S189" t="s">
        <v>74</v>
      </c>
      <c r="T189" t="s">
        <v>3012</v>
      </c>
      <c r="U189" t="s">
        <v>3013</v>
      </c>
      <c r="V189" t="s">
        <v>3014</v>
      </c>
      <c r="W189" t="s">
        <v>3015</v>
      </c>
      <c r="X189" t="s">
        <v>3016</v>
      </c>
      <c r="Y189" t="s">
        <v>3017</v>
      </c>
      <c r="Z189" t="s">
        <v>3018</v>
      </c>
      <c r="AA189" t="s">
        <v>3019</v>
      </c>
      <c r="AB189" t="s">
        <v>3020</v>
      </c>
      <c r="AC189" t="s">
        <v>74</v>
      </c>
      <c r="AD189" t="s">
        <v>74</v>
      </c>
      <c r="AE189" t="s">
        <v>74</v>
      </c>
      <c r="AF189" t="s">
        <v>74</v>
      </c>
      <c r="AG189">
        <v>46</v>
      </c>
      <c r="AH189">
        <v>19</v>
      </c>
      <c r="AI189">
        <v>20</v>
      </c>
      <c r="AJ189">
        <v>0</v>
      </c>
      <c r="AK189">
        <v>15</v>
      </c>
      <c r="AL189" t="s">
        <v>539</v>
      </c>
      <c r="AM189" t="s">
        <v>540</v>
      </c>
      <c r="AN189" t="s">
        <v>541</v>
      </c>
      <c r="AO189" t="s">
        <v>74</v>
      </c>
      <c r="AP189" t="s">
        <v>693</v>
      </c>
      <c r="AQ189" t="s">
        <v>74</v>
      </c>
      <c r="AR189" t="s">
        <v>694</v>
      </c>
      <c r="AS189" t="s">
        <v>695</v>
      </c>
      <c r="AT189" t="s">
        <v>3021</v>
      </c>
      <c r="AU189">
        <v>2003</v>
      </c>
      <c r="AV189">
        <v>4</v>
      </c>
      <c r="AW189" t="s">
        <v>74</v>
      </c>
      <c r="AX189" t="s">
        <v>74</v>
      </c>
      <c r="AY189" t="s">
        <v>74</v>
      </c>
      <c r="AZ189" t="s">
        <v>74</v>
      </c>
      <c r="BA189" t="s">
        <v>74</v>
      </c>
      <c r="BB189" t="s">
        <v>74</v>
      </c>
      <c r="BC189" t="s">
        <v>74</v>
      </c>
      <c r="BD189">
        <v>8405</v>
      </c>
      <c r="BE189" t="s">
        <v>3022</v>
      </c>
      <c r="BF189" t="str">
        <f>HYPERLINK("http://dx.doi.org/10.1029/2002GC000475","http://dx.doi.org/10.1029/2002GC000475")</f>
        <v>http://dx.doi.org/10.1029/2002GC000475</v>
      </c>
      <c r="BG189" t="s">
        <v>74</v>
      </c>
      <c r="BH189" t="s">
        <v>74</v>
      </c>
      <c r="BI189">
        <v>21</v>
      </c>
      <c r="BJ189" t="s">
        <v>176</v>
      </c>
      <c r="BK189" t="s">
        <v>94</v>
      </c>
      <c r="BL189" t="s">
        <v>176</v>
      </c>
      <c r="BM189" t="s">
        <v>3023</v>
      </c>
      <c r="BN189" t="s">
        <v>74</v>
      </c>
      <c r="BO189" t="s">
        <v>154</v>
      </c>
      <c r="BP189" t="s">
        <v>74</v>
      </c>
      <c r="BQ189" t="s">
        <v>74</v>
      </c>
      <c r="BR189" t="s">
        <v>97</v>
      </c>
      <c r="BS189" t="s">
        <v>3024</v>
      </c>
      <c r="BT189" t="str">
        <f>HYPERLINK("https%3A%2F%2Fwww.webofscience.com%2Fwos%2Fwoscc%2Ffull-record%2FWOS:000184804200002","View Full Record in Web of Science")</f>
        <v>View Full Record in Web of Science</v>
      </c>
    </row>
    <row r="190" spans="1:72" x14ac:dyDescent="0.15">
      <c r="A190" t="s">
        <v>72</v>
      </c>
      <c r="B190" t="s">
        <v>3025</v>
      </c>
      <c r="C190" t="s">
        <v>74</v>
      </c>
      <c r="D190" t="s">
        <v>74</v>
      </c>
      <c r="E190" t="s">
        <v>74</v>
      </c>
      <c r="F190" t="s">
        <v>3025</v>
      </c>
      <c r="G190" t="s">
        <v>74</v>
      </c>
      <c r="H190" t="s">
        <v>74</v>
      </c>
      <c r="I190" t="s">
        <v>3026</v>
      </c>
      <c r="J190" t="s">
        <v>578</v>
      </c>
      <c r="K190" t="s">
        <v>74</v>
      </c>
      <c r="L190" t="s">
        <v>74</v>
      </c>
      <c r="M190" t="s">
        <v>77</v>
      </c>
      <c r="N190" t="s">
        <v>78</v>
      </c>
      <c r="O190" t="s">
        <v>74</v>
      </c>
      <c r="P190" t="s">
        <v>74</v>
      </c>
      <c r="Q190" t="s">
        <v>74</v>
      </c>
      <c r="R190" t="s">
        <v>74</v>
      </c>
      <c r="S190" t="s">
        <v>74</v>
      </c>
      <c r="T190" t="s">
        <v>3027</v>
      </c>
      <c r="U190" t="s">
        <v>3028</v>
      </c>
      <c r="V190" t="s">
        <v>3029</v>
      </c>
      <c r="W190" t="s">
        <v>3030</v>
      </c>
      <c r="X190" t="s">
        <v>3031</v>
      </c>
      <c r="Y190" t="s">
        <v>3032</v>
      </c>
      <c r="Z190" t="s">
        <v>3033</v>
      </c>
      <c r="AA190" t="s">
        <v>3034</v>
      </c>
      <c r="AB190" t="s">
        <v>74</v>
      </c>
      <c r="AC190" t="s">
        <v>74</v>
      </c>
      <c r="AD190" t="s">
        <v>74</v>
      </c>
      <c r="AE190" t="s">
        <v>74</v>
      </c>
      <c r="AF190" t="s">
        <v>74</v>
      </c>
      <c r="AG190">
        <v>77</v>
      </c>
      <c r="AH190">
        <v>28</v>
      </c>
      <c r="AI190">
        <v>28</v>
      </c>
      <c r="AJ190">
        <v>0</v>
      </c>
      <c r="AK190">
        <v>2</v>
      </c>
      <c r="AL190" t="s">
        <v>539</v>
      </c>
      <c r="AM190" t="s">
        <v>540</v>
      </c>
      <c r="AN190" t="s">
        <v>541</v>
      </c>
      <c r="AO190" t="s">
        <v>588</v>
      </c>
      <c r="AP190" t="s">
        <v>605</v>
      </c>
      <c r="AQ190" t="s">
        <v>74</v>
      </c>
      <c r="AR190" t="s">
        <v>589</v>
      </c>
      <c r="AS190" t="s">
        <v>590</v>
      </c>
      <c r="AT190" t="s">
        <v>3021</v>
      </c>
      <c r="AU190">
        <v>2003</v>
      </c>
      <c r="AV190">
        <v>108</v>
      </c>
      <c r="AW190" t="s">
        <v>2877</v>
      </c>
      <c r="AX190" t="s">
        <v>74</v>
      </c>
      <c r="AY190" t="s">
        <v>74</v>
      </c>
      <c r="AZ190" t="s">
        <v>74</v>
      </c>
      <c r="BA190" t="s">
        <v>74</v>
      </c>
      <c r="BB190" t="s">
        <v>74</v>
      </c>
      <c r="BC190" t="s">
        <v>74</v>
      </c>
      <c r="BD190">
        <v>4454</v>
      </c>
      <c r="BE190" t="s">
        <v>3035</v>
      </c>
      <c r="BF190" t="str">
        <f>HYPERLINK("http://dx.doi.org/10.1029/2002JD003335","http://dx.doi.org/10.1029/2002JD003335")</f>
        <v>http://dx.doi.org/10.1029/2002JD003335</v>
      </c>
      <c r="BG190" t="s">
        <v>74</v>
      </c>
      <c r="BH190" t="s">
        <v>74</v>
      </c>
      <c r="BI190">
        <v>14</v>
      </c>
      <c r="BJ190" t="s">
        <v>93</v>
      </c>
      <c r="BK190" t="s">
        <v>94</v>
      </c>
      <c r="BL190" t="s">
        <v>93</v>
      </c>
      <c r="BM190" t="s">
        <v>3036</v>
      </c>
      <c r="BN190" t="s">
        <v>74</v>
      </c>
      <c r="BO190" t="s">
        <v>96</v>
      </c>
      <c r="BP190" t="s">
        <v>74</v>
      </c>
      <c r="BQ190" t="s">
        <v>74</v>
      </c>
      <c r="BR190" t="s">
        <v>97</v>
      </c>
      <c r="BS190" t="s">
        <v>3037</v>
      </c>
      <c r="BT190" t="str">
        <f>HYPERLINK("https%3A%2F%2Fwww.webofscience.com%2Fwos%2Fwoscc%2Ffull-record%2FWOS:000184805900005","View Full Record in Web of Science")</f>
        <v>View Full Record in Web of Science</v>
      </c>
    </row>
    <row r="191" spans="1:72" x14ac:dyDescent="0.15">
      <c r="A191" t="s">
        <v>72</v>
      </c>
      <c r="B191" t="s">
        <v>3038</v>
      </c>
      <c r="C191" t="s">
        <v>74</v>
      </c>
      <c r="D191" t="s">
        <v>74</v>
      </c>
      <c r="E191" t="s">
        <v>74</v>
      </c>
      <c r="F191" t="s">
        <v>3038</v>
      </c>
      <c r="G191" t="s">
        <v>74</v>
      </c>
      <c r="H191" t="s">
        <v>74</v>
      </c>
      <c r="I191" t="s">
        <v>3039</v>
      </c>
      <c r="J191" t="s">
        <v>530</v>
      </c>
      <c r="K191" t="s">
        <v>74</v>
      </c>
      <c r="L191" t="s">
        <v>74</v>
      </c>
      <c r="M191" t="s">
        <v>77</v>
      </c>
      <c r="N191" t="s">
        <v>78</v>
      </c>
      <c r="O191" t="s">
        <v>74</v>
      </c>
      <c r="P191" t="s">
        <v>74</v>
      </c>
      <c r="Q191" t="s">
        <v>74</v>
      </c>
      <c r="R191" t="s">
        <v>74</v>
      </c>
      <c r="S191" t="s">
        <v>74</v>
      </c>
      <c r="T191" t="s">
        <v>74</v>
      </c>
      <c r="U191" t="s">
        <v>3040</v>
      </c>
      <c r="V191" t="s">
        <v>3041</v>
      </c>
      <c r="W191" t="s">
        <v>3042</v>
      </c>
      <c r="X191" t="s">
        <v>3043</v>
      </c>
      <c r="Y191" t="s">
        <v>3044</v>
      </c>
      <c r="Z191" t="s">
        <v>74</v>
      </c>
      <c r="AA191" t="s">
        <v>3045</v>
      </c>
      <c r="AB191" t="s">
        <v>3046</v>
      </c>
      <c r="AC191" t="s">
        <v>74</v>
      </c>
      <c r="AD191" t="s">
        <v>74</v>
      </c>
      <c r="AE191" t="s">
        <v>74</v>
      </c>
      <c r="AF191" t="s">
        <v>74</v>
      </c>
      <c r="AG191">
        <v>19</v>
      </c>
      <c r="AH191">
        <v>18</v>
      </c>
      <c r="AI191">
        <v>19</v>
      </c>
      <c r="AJ191">
        <v>0</v>
      </c>
      <c r="AK191">
        <v>2</v>
      </c>
      <c r="AL191" t="s">
        <v>539</v>
      </c>
      <c r="AM191" t="s">
        <v>540</v>
      </c>
      <c r="AN191" t="s">
        <v>541</v>
      </c>
      <c r="AO191" t="s">
        <v>542</v>
      </c>
      <c r="AP191" t="s">
        <v>74</v>
      </c>
      <c r="AQ191" t="s">
        <v>74</v>
      </c>
      <c r="AR191" t="s">
        <v>544</v>
      </c>
      <c r="AS191" t="s">
        <v>545</v>
      </c>
      <c r="AT191" t="s">
        <v>3047</v>
      </c>
      <c r="AU191">
        <v>2003</v>
      </c>
      <c r="AV191">
        <v>30</v>
      </c>
      <c r="AW191">
        <v>15</v>
      </c>
      <c r="AX191" t="s">
        <v>74</v>
      </c>
      <c r="AY191" t="s">
        <v>74</v>
      </c>
      <c r="AZ191" t="s">
        <v>74</v>
      </c>
      <c r="BA191" t="s">
        <v>74</v>
      </c>
      <c r="BB191" t="s">
        <v>74</v>
      </c>
      <c r="BC191" t="s">
        <v>74</v>
      </c>
      <c r="BD191">
        <v>1796</v>
      </c>
      <c r="BE191" t="s">
        <v>3048</v>
      </c>
      <c r="BF191" t="str">
        <f>HYPERLINK("http://dx.doi.org/10.1029/2003GL017577","http://dx.doi.org/10.1029/2003GL017577")</f>
        <v>http://dx.doi.org/10.1029/2003GL017577</v>
      </c>
      <c r="BG191" t="s">
        <v>74</v>
      </c>
      <c r="BH191" t="s">
        <v>74</v>
      </c>
      <c r="BI191">
        <v>4</v>
      </c>
      <c r="BJ191" t="s">
        <v>548</v>
      </c>
      <c r="BK191" t="s">
        <v>94</v>
      </c>
      <c r="BL191" t="s">
        <v>549</v>
      </c>
      <c r="BM191" t="s">
        <v>3049</v>
      </c>
      <c r="BN191" t="s">
        <v>74</v>
      </c>
      <c r="BO191" t="s">
        <v>74</v>
      </c>
      <c r="BP191" t="s">
        <v>74</v>
      </c>
      <c r="BQ191" t="s">
        <v>74</v>
      </c>
      <c r="BR191" t="s">
        <v>97</v>
      </c>
      <c r="BS191" t="s">
        <v>3050</v>
      </c>
      <c r="BT191" t="str">
        <f>HYPERLINK("https%3A%2F%2Fwww.webofscience.com%2Fwos%2Fwoscc%2Ffull-record%2FWOS:000184804700002","View Full Record in Web of Science")</f>
        <v>View Full Record in Web of Science</v>
      </c>
    </row>
    <row r="192" spans="1:72" x14ac:dyDescent="0.15">
      <c r="A192" t="s">
        <v>72</v>
      </c>
      <c r="B192" t="s">
        <v>3051</v>
      </c>
      <c r="C192" t="s">
        <v>74</v>
      </c>
      <c r="D192" t="s">
        <v>74</v>
      </c>
      <c r="E192" t="s">
        <v>74</v>
      </c>
      <c r="F192" t="s">
        <v>3051</v>
      </c>
      <c r="G192" t="s">
        <v>74</v>
      </c>
      <c r="H192" t="s">
        <v>74</v>
      </c>
      <c r="I192" t="s">
        <v>3052</v>
      </c>
      <c r="J192" t="s">
        <v>578</v>
      </c>
      <c r="K192" t="s">
        <v>74</v>
      </c>
      <c r="L192" t="s">
        <v>74</v>
      </c>
      <c r="M192" t="s">
        <v>77</v>
      </c>
      <c r="N192" t="s">
        <v>78</v>
      </c>
      <c r="O192" t="s">
        <v>74</v>
      </c>
      <c r="P192" t="s">
        <v>74</v>
      </c>
      <c r="Q192" t="s">
        <v>74</v>
      </c>
      <c r="R192" t="s">
        <v>74</v>
      </c>
      <c r="S192" t="s">
        <v>74</v>
      </c>
      <c r="T192" t="s">
        <v>3053</v>
      </c>
      <c r="U192" t="s">
        <v>3054</v>
      </c>
      <c r="V192" t="s">
        <v>3055</v>
      </c>
      <c r="W192" t="s">
        <v>3056</v>
      </c>
      <c r="X192" t="s">
        <v>3057</v>
      </c>
      <c r="Y192" t="s">
        <v>3058</v>
      </c>
      <c r="Z192" t="s">
        <v>3059</v>
      </c>
      <c r="AA192" t="s">
        <v>3060</v>
      </c>
      <c r="AB192" t="s">
        <v>3061</v>
      </c>
      <c r="AC192" t="s">
        <v>74</v>
      </c>
      <c r="AD192" t="s">
        <v>74</v>
      </c>
      <c r="AE192" t="s">
        <v>74</v>
      </c>
      <c r="AF192" t="s">
        <v>74</v>
      </c>
      <c r="AG192">
        <v>50</v>
      </c>
      <c r="AH192">
        <v>17</v>
      </c>
      <c r="AI192">
        <v>17</v>
      </c>
      <c r="AJ192">
        <v>0</v>
      </c>
      <c r="AK192">
        <v>4</v>
      </c>
      <c r="AL192" t="s">
        <v>539</v>
      </c>
      <c r="AM192" t="s">
        <v>540</v>
      </c>
      <c r="AN192" t="s">
        <v>541</v>
      </c>
      <c r="AO192" t="s">
        <v>588</v>
      </c>
      <c r="AP192" t="s">
        <v>74</v>
      </c>
      <c r="AQ192" t="s">
        <v>74</v>
      </c>
      <c r="AR192" t="s">
        <v>589</v>
      </c>
      <c r="AS192" t="s">
        <v>590</v>
      </c>
      <c r="AT192" t="s">
        <v>3062</v>
      </c>
      <c r="AU192">
        <v>2003</v>
      </c>
      <c r="AV192">
        <v>108</v>
      </c>
      <c r="AW192" t="s">
        <v>2877</v>
      </c>
      <c r="AX192" t="s">
        <v>74</v>
      </c>
      <c r="AY192" t="s">
        <v>74</v>
      </c>
      <c r="AZ192" t="s">
        <v>74</v>
      </c>
      <c r="BA192" t="s">
        <v>74</v>
      </c>
      <c r="BB192" t="s">
        <v>74</v>
      </c>
      <c r="BC192" t="s">
        <v>74</v>
      </c>
      <c r="BD192">
        <v>4451</v>
      </c>
      <c r="BE192" t="s">
        <v>3063</v>
      </c>
      <c r="BF192" t="str">
        <f>HYPERLINK("http://dx.doi.org/10.1029/2002JD002832","http://dx.doi.org/10.1029/2002JD002832")</f>
        <v>http://dx.doi.org/10.1029/2002JD002832</v>
      </c>
      <c r="BG192" t="s">
        <v>74</v>
      </c>
      <c r="BH192" t="s">
        <v>74</v>
      </c>
      <c r="BI192">
        <v>8</v>
      </c>
      <c r="BJ192" t="s">
        <v>93</v>
      </c>
      <c r="BK192" t="s">
        <v>94</v>
      </c>
      <c r="BL192" t="s">
        <v>93</v>
      </c>
      <c r="BM192" t="s">
        <v>3064</v>
      </c>
      <c r="BN192" t="s">
        <v>74</v>
      </c>
      <c r="BO192" t="s">
        <v>74</v>
      </c>
      <c r="BP192" t="s">
        <v>74</v>
      </c>
      <c r="BQ192" t="s">
        <v>74</v>
      </c>
      <c r="BR192" t="s">
        <v>97</v>
      </c>
      <c r="BS192" t="s">
        <v>3065</v>
      </c>
      <c r="BT192" t="str">
        <f>HYPERLINK("https%3A%2F%2Fwww.webofscience.com%2Fwos%2Fwoscc%2Ffull-record%2FWOS:000184805700003","View Full Record in Web of Science")</f>
        <v>View Full Record in Web of Science</v>
      </c>
    </row>
    <row r="193" spans="1:72" x14ac:dyDescent="0.15">
      <c r="A193" t="s">
        <v>72</v>
      </c>
      <c r="B193" t="s">
        <v>3066</v>
      </c>
      <c r="C193" t="s">
        <v>74</v>
      </c>
      <c r="D193" t="s">
        <v>74</v>
      </c>
      <c r="E193" t="s">
        <v>74</v>
      </c>
      <c r="F193" t="s">
        <v>3066</v>
      </c>
      <c r="G193" t="s">
        <v>74</v>
      </c>
      <c r="H193" t="s">
        <v>74</v>
      </c>
      <c r="I193" t="s">
        <v>3067</v>
      </c>
      <c r="J193" t="s">
        <v>728</v>
      </c>
      <c r="K193" t="s">
        <v>74</v>
      </c>
      <c r="L193" t="s">
        <v>74</v>
      </c>
      <c r="M193" t="s">
        <v>77</v>
      </c>
      <c r="N193" t="s">
        <v>78</v>
      </c>
      <c r="O193" t="s">
        <v>74</v>
      </c>
      <c r="P193" t="s">
        <v>74</v>
      </c>
      <c r="Q193" t="s">
        <v>74</v>
      </c>
      <c r="R193" t="s">
        <v>74</v>
      </c>
      <c r="S193" t="s">
        <v>74</v>
      </c>
      <c r="T193" t="s">
        <v>3068</v>
      </c>
      <c r="U193" t="s">
        <v>3069</v>
      </c>
      <c r="V193" t="s">
        <v>3070</v>
      </c>
      <c r="W193" t="s">
        <v>3071</v>
      </c>
      <c r="X193" t="s">
        <v>3072</v>
      </c>
      <c r="Y193" t="s">
        <v>3073</v>
      </c>
      <c r="Z193" t="s">
        <v>3074</v>
      </c>
      <c r="AA193" t="s">
        <v>3075</v>
      </c>
      <c r="AB193" t="s">
        <v>3076</v>
      </c>
      <c r="AC193" t="s">
        <v>74</v>
      </c>
      <c r="AD193" t="s">
        <v>74</v>
      </c>
      <c r="AE193" t="s">
        <v>74</v>
      </c>
      <c r="AF193" t="s">
        <v>74</v>
      </c>
      <c r="AG193">
        <v>57</v>
      </c>
      <c r="AH193">
        <v>16</v>
      </c>
      <c r="AI193">
        <v>19</v>
      </c>
      <c r="AJ193">
        <v>1</v>
      </c>
      <c r="AK193">
        <v>8</v>
      </c>
      <c r="AL193" t="s">
        <v>539</v>
      </c>
      <c r="AM193" t="s">
        <v>540</v>
      </c>
      <c r="AN193" t="s">
        <v>541</v>
      </c>
      <c r="AO193" t="s">
        <v>736</v>
      </c>
      <c r="AP193" t="s">
        <v>737</v>
      </c>
      <c r="AQ193" t="s">
        <v>74</v>
      </c>
      <c r="AR193" t="s">
        <v>738</v>
      </c>
      <c r="AS193" t="s">
        <v>739</v>
      </c>
      <c r="AT193" t="s">
        <v>3062</v>
      </c>
      <c r="AU193">
        <v>2003</v>
      </c>
      <c r="AV193">
        <v>108</v>
      </c>
      <c r="AW193" t="s">
        <v>2916</v>
      </c>
      <c r="AX193" t="s">
        <v>74</v>
      </c>
      <c r="AY193" t="s">
        <v>74</v>
      </c>
      <c r="AZ193" t="s">
        <v>74</v>
      </c>
      <c r="BA193" t="s">
        <v>74</v>
      </c>
      <c r="BB193" t="s">
        <v>74</v>
      </c>
      <c r="BC193" t="s">
        <v>74</v>
      </c>
      <c r="BD193">
        <v>2365</v>
      </c>
      <c r="BE193" t="s">
        <v>3077</v>
      </c>
      <c r="BF193" t="str">
        <f>HYPERLINK("http://dx.doi.org/10.1029/2002JB001915","http://dx.doi.org/10.1029/2002JB001915")</f>
        <v>http://dx.doi.org/10.1029/2002JB001915</v>
      </c>
      <c r="BG193" t="s">
        <v>74</v>
      </c>
      <c r="BH193" t="s">
        <v>74</v>
      </c>
      <c r="BI193">
        <v>18</v>
      </c>
      <c r="BJ193" t="s">
        <v>176</v>
      </c>
      <c r="BK193" t="s">
        <v>94</v>
      </c>
      <c r="BL193" t="s">
        <v>176</v>
      </c>
      <c r="BM193" t="s">
        <v>3078</v>
      </c>
      <c r="BN193" t="s">
        <v>74</v>
      </c>
      <c r="BO193" t="s">
        <v>96</v>
      </c>
      <c r="BP193" t="s">
        <v>74</v>
      </c>
      <c r="BQ193" t="s">
        <v>74</v>
      </c>
      <c r="BR193" t="s">
        <v>97</v>
      </c>
      <c r="BS193" t="s">
        <v>3079</v>
      </c>
      <c r="BT193" t="str">
        <f>HYPERLINK("https%3A%2F%2Fwww.webofscience.com%2Fwos%2Fwoscc%2Ffull-record%2FWOS:000184826700001","View Full Record in Web of Science")</f>
        <v>View Full Record in Web of Science</v>
      </c>
    </row>
    <row r="194" spans="1:72" x14ac:dyDescent="0.15">
      <c r="A194" t="s">
        <v>72</v>
      </c>
      <c r="B194" t="s">
        <v>3080</v>
      </c>
      <c r="C194" t="s">
        <v>74</v>
      </c>
      <c r="D194" t="s">
        <v>74</v>
      </c>
      <c r="E194" t="s">
        <v>74</v>
      </c>
      <c r="F194" t="s">
        <v>3080</v>
      </c>
      <c r="G194" t="s">
        <v>74</v>
      </c>
      <c r="H194" t="s">
        <v>74</v>
      </c>
      <c r="I194" t="s">
        <v>3081</v>
      </c>
      <c r="J194" t="s">
        <v>3082</v>
      </c>
      <c r="K194" t="s">
        <v>74</v>
      </c>
      <c r="L194" t="s">
        <v>74</v>
      </c>
      <c r="M194" t="s">
        <v>77</v>
      </c>
      <c r="N194" t="s">
        <v>159</v>
      </c>
      <c r="O194" t="s">
        <v>3083</v>
      </c>
      <c r="P194" t="s">
        <v>3084</v>
      </c>
      <c r="Q194" t="s">
        <v>3085</v>
      </c>
      <c r="R194" t="s">
        <v>74</v>
      </c>
      <c r="S194" t="s">
        <v>74</v>
      </c>
      <c r="T194" t="s">
        <v>74</v>
      </c>
      <c r="U194" t="s">
        <v>74</v>
      </c>
      <c r="V194" t="s">
        <v>3086</v>
      </c>
      <c r="W194" t="s">
        <v>3087</v>
      </c>
      <c r="X194" t="s">
        <v>3088</v>
      </c>
      <c r="Y194" t="s">
        <v>3089</v>
      </c>
      <c r="Z194" t="s">
        <v>3090</v>
      </c>
      <c r="AA194" t="s">
        <v>74</v>
      </c>
      <c r="AB194" t="s">
        <v>3091</v>
      </c>
      <c r="AC194" t="s">
        <v>74</v>
      </c>
      <c r="AD194" t="s">
        <v>74</v>
      </c>
      <c r="AE194" t="s">
        <v>74</v>
      </c>
      <c r="AF194" t="s">
        <v>74</v>
      </c>
      <c r="AG194">
        <v>20</v>
      </c>
      <c r="AH194">
        <v>14</v>
      </c>
      <c r="AI194">
        <v>15</v>
      </c>
      <c r="AJ194">
        <v>0</v>
      </c>
      <c r="AK194">
        <v>8</v>
      </c>
      <c r="AL194" t="s">
        <v>169</v>
      </c>
      <c r="AM194" t="s">
        <v>170</v>
      </c>
      <c r="AN194" t="s">
        <v>171</v>
      </c>
      <c r="AO194" t="s">
        <v>3092</v>
      </c>
      <c r="AP194" t="s">
        <v>3093</v>
      </c>
      <c r="AQ194" t="s">
        <v>74</v>
      </c>
      <c r="AR194" t="s">
        <v>3094</v>
      </c>
      <c r="AS194" t="s">
        <v>3095</v>
      </c>
      <c r="AT194" t="s">
        <v>3096</v>
      </c>
      <c r="AU194">
        <v>2003</v>
      </c>
      <c r="AV194">
        <v>53</v>
      </c>
      <c r="AW194" t="s">
        <v>3097</v>
      </c>
      <c r="AX194" t="s">
        <v>74</v>
      </c>
      <c r="AY194" t="s">
        <v>74</v>
      </c>
      <c r="AZ194" t="s">
        <v>74</v>
      </c>
      <c r="BA194" t="s">
        <v>74</v>
      </c>
      <c r="BB194">
        <v>259</v>
      </c>
      <c r="BC194">
        <v>267</v>
      </c>
      <c r="BD194" t="s">
        <v>74</v>
      </c>
      <c r="BE194" t="s">
        <v>3098</v>
      </c>
      <c r="BF194" t="str">
        <f>HYPERLINK("http://dx.doi.org/10.1016/S0094-5765(03)80003-6","http://dx.doi.org/10.1016/S0094-5765(03)80003-6")</f>
        <v>http://dx.doi.org/10.1016/S0094-5765(03)80003-6</v>
      </c>
      <c r="BG194" t="s">
        <v>74</v>
      </c>
      <c r="BH194" t="s">
        <v>74</v>
      </c>
      <c r="BI194">
        <v>9</v>
      </c>
      <c r="BJ194" t="s">
        <v>3099</v>
      </c>
      <c r="BK194" t="s">
        <v>3100</v>
      </c>
      <c r="BL194" t="s">
        <v>505</v>
      </c>
      <c r="BM194" t="s">
        <v>3101</v>
      </c>
      <c r="BN194">
        <v>14649255</v>
      </c>
      <c r="BO194" t="s">
        <v>74</v>
      </c>
      <c r="BP194" t="s">
        <v>74</v>
      </c>
      <c r="BQ194" t="s">
        <v>74</v>
      </c>
      <c r="BR194" t="s">
        <v>97</v>
      </c>
      <c r="BS194" t="s">
        <v>3102</v>
      </c>
      <c r="BT194" t="str">
        <f>HYPERLINK("https%3A%2F%2Fwww.webofscience.com%2Fwos%2Fwoscc%2Ffull-record%2FWOS:000184081700004","View Full Record in Web of Science")</f>
        <v>View Full Record in Web of Science</v>
      </c>
    </row>
    <row r="195" spans="1:72" x14ac:dyDescent="0.15">
      <c r="A195" t="s">
        <v>72</v>
      </c>
      <c r="B195" t="s">
        <v>3103</v>
      </c>
      <c r="C195" t="s">
        <v>74</v>
      </c>
      <c r="D195" t="s">
        <v>74</v>
      </c>
      <c r="E195" t="s">
        <v>74</v>
      </c>
      <c r="F195" t="s">
        <v>3103</v>
      </c>
      <c r="G195" t="s">
        <v>74</v>
      </c>
      <c r="H195" t="s">
        <v>74</v>
      </c>
      <c r="I195" t="s">
        <v>3104</v>
      </c>
      <c r="J195" t="s">
        <v>3105</v>
      </c>
      <c r="K195" t="s">
        <v>74</v>
      </c>
      <c r="L195" t="s">
        <v>74</v>
      </c>
      <c r="M195" t="s">
        <v>77</v>
      </c>
      <c r="N195" t="s">
        <v>78</v>
      </c>
      <c r="O195" t="s">
        <v>74</v>
      </c>
      <c r="P195" t="s">
        <v>74</v>
      </c>
      <c r="Q195" t="s">
        <v>74</v>
      </c>
      <c r="R195" t="s">
        <v>74</v>
      </c>
      <c r="S195" t="s">
        <v>74</v>
      </c>
      <c r="T195" t="s">
        <v>3106</v>
      </c>
      <c r="U195" t="s">
        <v>3107</v>
      </c>
      <c r="V195" t="s">
        <v>3108</v>
      </c>
      <c r="W195" t="s">
        <v>3109</v>
      </c>
      <c r="X195" t="s">
        <v>3110</v>
      </c>
      <c r="Y195" t="s">
        <v>3111</v>
      </c>
      <c r="Z195" t="s">
        <v>3112</v>
      </c>
      <c r="AA195" t="s">
        <v>3113</v>
      </c>
      <c r="AB195" t="s">
        <v>3114</v>
      </c>
      <c r="AC195" t="s">
        <v>74</v>
      </c>
      <c r="AD195" t="s">
        <v>74</v>
      </c>
      <c r="AE195" t="s">
        <v>74</v>
      </c>
      <c r="AF195" t="s">
        <v>74</v>
      </c>
      <c r="AG195">
        <v>57</v>
      </c>
      <c r="AH195">
        <v>23</v>
      </c>
      <c r="AI195">
        <v>28</v>
      </c>
      <c r="AJ195">
        <v>0</v>
      </c>
      <c r="AK195">
        <v>2</v>
      </c>
      <c r="AL195" t="s">
        <v>3115</v>
      </c>
      <c r="AM195" t="s">
        <v>3116</v>
      </c>
      <c r="AN195" t="s">
        <v>3117</v>
      </c>
      <c r="AO195" t="s">
        <v>3118</v>
      </c>
      <c r="AP195" t="s">
        <v>74</v>
      </c>
      <c r="AQ195" t="s">
        <v>74</v>
      </c>
      <c r="AR195" t="s">
        <v>3119</v>
      </c>
      <c r="AS195" t="s">
        <v>3120</v>
      </c>
      <c r="AT195" t="s">
        <v>3121</v>
      </c>
      <c r="AU195">
        <v>2003</v>
      </c>
      <c r="AV195">
        <v>21</v>
      </c>
      <c r="AW195">
        <v>8</v>
      </c>
      <c r="AX195" t="s">
        <v>74</v>
      </c>
      <c r="AY195" t="s">
        <v>74</v>
      </c>
      <c r="AZ195" t="s">
        <v>74</v>
      </c>
      <c r="BA195" t="s">
        <v>74</v>
      </c>
      <c r="BB195">
        <v>1847</v>
      </c>
      <c r="BC195">
        <v>1868</v>
      </c>
      <c r="BD195" t="s">
        <v>74</v>
      </c>
      <c r="BE195" t="s">
        <v>3122</v>
      </c>
      <c r="BF195" t="str">
        <f>HYPERLINK("http://dx.doi.org/10.5194/angeo-21-1847-2003","http://dx.doi.org/10.5194/angeo-21-1847-2003")</f>
        <v>http://dx.doi.org/10.5194/angeo-21-1847-2003</v>
      </c>
      <c r="BG195" t="s">
        <v>74</v>
      </c>
      <c r="BH195" t="s">
        <v>74</v>
      </c>
      <c r="BI195">
        <v>22</v>
      </c>
      <c r="BJ195" t="s">
        <v>3123</v>
      </c>
      <c r="BK195" t="s">
        <v>94</v>
      </c>
      <c r="BL195" t="s">
        <v>3124</v>
      </c>
      <c r="BM195" t="s">
        <v>3125</v>
      </c>
      <c r="BN195" t="s">
        <v>74</v>
      </c>
      <c r="BO195" t="s">
        <v>3126</v>
      </c>
      <c r="BP195" t="s">
        <v>74</v>
      </c>
      <c r="BQ195" t="s">
        <v>74</v>
      </c>
      <c r="BR195" t="s">
        <v>97</v>
      </c>
      <c r="BS195" t="s">
        <v>3127</v>
      </c>
      <c r="BT195" t="str">
        <f>HYPERLINK("https%3A%2F%2Fwww.webofscience.com%2Fwos%2Fwoscc%2Ffull-record%2FWOS:000189047100012","View Full Record in Web of Science")</f>
        <v>View Full Record in Web of Science</v>
      </c>
    </row>
    <row r="196" spans="1:72" x14ac:dyDescent="0.15">
      <c r="A196" t="s">
        <v>72</v>
      </c>
      <c r="B196" t="s">
        <v>3128</v>
      </c>
      <c r="C196" t="s">
        <v>74</v>
      </c>
      <c r="D196" t="s">
        <v>74</v>
      </c>
      <c r="E196" t="s">
        <v>74</v>
      </c>
      <c r="F196" t="s">
        <v>3128</v>
      </c>
      <c r="G196" t="s">
        <v>74</v>
      </c>
      <c r="H196" t="s">
        <v>74</v>
      </c>
      <c r="I196" t="s">
        <v>3129</v>
      </c>
      <c r="J196" t="s">
        <v>1254</v>
      </c>
      <c r="K196" t="s">
        <v>74</v>
      </c>
      <c r="L196" t="s">
        <v>74</v>
      </c>
      <c r="M196" t="s">
        <v>77</v>
      </c>
      <c r="N196" t="s">
        <v>78</v>
      </c>
      <c r="O196" t="s">
        <v>74</v>
      </c>
      <c r="P196" t="s">
        <v>74</v>
      </c>
      <c r="Q196" t="s">
        <v>74</v>
      </c>
      <c r="R196" t="s">
        <v>74</v>
      </c>
      <c r="S196" t="s">
        <v>74</v>
      </c>
      <c r="T196" t="s">
        <v>74</v>
      </c>
      <c r="U196" t="s">
        <v>3130</v>
      </c>
      <c r="V196" t="s">
        <v>3131</v>
      </c>
      <c r="W196" t="s">
        <v>3132</v>
      </c>
      <c r="X196" t="s">
        <v>706</v>
      </c>
      <c r="Y196" t="s">
        <v>3133</v>
      </c>
      <c r="Z196" t="s">
        <v>3134</v>
      </c>
      <c r="AA196" t="s">
        <v>3135</v>
      </c>
      <c r="AB196" t="s">
        <v>74</v>
      </c>
      <c r="AC196" t="s">
        <v>74</v>
      </c>
      <c r="AD196" t="s">
        <v>74</v>
      </c>
      <c r="AE196" t="s">
        <v>74</v>
      </c>
      <c r="AF196" t="s">
        <v>74</v>
      </c>
      <c r="AG196">
        <v>49</v>
      </c>
      <c r="AH196">
        <v>49</v>
      </c>
      <c r="AI196">
        <v>63</v>
      </c>
      <c r="AJ196">
        <v>0</v>
      </c>
      <c r="AK196">
        <v>13</v>
      </c>
      <c r="AL196" t="s">
        <v>1263</v>
      </c>
      <c r="AM196" t="s">
        <v>540</v>
      </c>
      <c r="AN196" t="s">
        <v>1264</v>
      </c>
      <c r="AO196" t="s">
        <v>1265</v>
      </c>
      <c r="AP196" t="s">
        <v>1266</v>
      </c>
      <c r="AQ196" t="s">
        <v>74</v>
      </c>
      <c r="AR196" t="s">
        <v>1267</v>
      </c>
      <c r="AS196" t="s">
        <v>1268</v>
      </c>
      <c r="AT196" t="s">
        <v>3121</v>
      </c>
      <c r="AU196">
        <v>2003</v>
      </c>
      <c r="AV196">
        <v>69</v>
      </c>
      <c r="AW196">
        <v>8</v>
      </c>
      <c r="AX196" t="s">
        <v>74</v>
      </c>
      <c r="AY196" t="s">
        <v>74</v>
      </c>
      <c r="AZ196" t="s">
        <v>74</v>
      </c>
      <c r="BA196" t="s">
        <v>74</v>
      </c>
      <c r="BB196">
        <v>4884</v>
      </c>
      <c r="BC196">
        <v>4891</v>
      </c>
      <c r="BD196" t="s">
        <v>74</v>
      </c>
      <c r="BE196" t="s">
        <v>3136</v>
      </c>
      <c r="BF196" t="str">
        <f>HYPERLINK("http://dx.doi.org/10.1128/AEM.69.8.4884-4891.2003","http://dx.doi.org/10.1128/AEM.69.8.4884-4891.2003")</f>
        <v>http://dx.doi.org/10.1128/AEM.69.8.4884-4891.2003</v>
      </c>
      <c r="BG196" t="s">
        <v>74</v>
      </c>
      <c r="BH196" t="s">
        <v>74</v>
      </c>
      <c r="BI196">
        <v>8</v>
      </c>
      <c r="BJ196" t="s">
        <v>1270</v>
      </c>
      <c r="BK196" t="s">
        <v>94</v>
      </c>
      <c r="BL196" t="s">
        <v>1270</v>
      </c>
      <c r="BM196" t="s">
        <v>3137</v>
      </c>
      <c r="BN196">
        <v>12902283</v>
      </c>
      <c r="BO196" t="s">
        <v>154</v>
      </c>
      <c r="BP196" t="s">
        <v>74</v>
      </c>
      <c r="BQ196" t="s">
        <v>74</v>
      </c>
      <c r="BR196" t="s">
        <v>97</v>
      </c>
      <c r="BS196" t="s">
        <v>3138</v>
      </c>
      <c r="BT196" t="str">
        <f>HYPERLINK("https%3A%2F%2Fwww.webofscience.com%2Fwos%2Fwoscc%2Ffull-record%2FWOS:000184672500070","View Full Record in Web of Science")</f>
        <v>View Full Record in Web of Science</v>
      </c>
    </row>
    <row r="197" spans="1:72" x14ac:dyDescent="0.15">
      <c r="A197" t="s">
        <v>72</v>
      </c>
      <c r="B197" t="s">
        <v>3139</v>
      </c>
      <c r="C197" t="s">
        <v>74</v>
      </c>
      <c r="D197" t="s">
        <v>74</v>
      </c>
      <c r="E197" t="s">
        <v>74</v>
      </c>
      <c r="F197" t="s">
        <v>3139</v>
      </c>
      <c r="G197" t="s">
        <v>74</v>
      </c>
      <c r="H197" t="s">
        <v>74</v>
      </c>
      <c r="I197" t="s">
        <v>3140</v>
      </c>
      <c r="J197" t="s">
        <v>1254</v>
      </c>
      <c r="K197" t="s">
        <v>74</v>
      </c>
      <c r="L197" t="s">
        <v>74</v>
      </c>
      <c r="M197" t="s">
        <v>77</v>
      </c>
      <c r="N197" t="s">
        <v>78</v>
      </c>
      <c r="O197" t="s">
        <v>74</v>
      </c>
      <c r="P197" t="s">
        <v>74</v>
      </c>
      <c r="Q197" t="s">
        <v>74</v>
      </c>
      <c r="R197" t="s">
        <v>74</v>
      </c>
      <c r="S197" t="s">
        <v>74</v>
      </c>
      <c r="T197" t="s">
        <v>74</v>
      </c>
      <c r="U197" t="s">
        <v>3141</v>
      </c>
      <c r="V197" t="s">
        <v>3142</v>
      </c>
      <c r="W197" t="s">
        <v>3143</v>
      </c>
      <c r="X197" t="s">
        <v>3144</v>
      </c>
      <c r="Y197" t="s">
        <v>3145</v>
      </c>
      <c r="Z197" t="s">
        <v>74</v>
      </c>
      <c r="AA197" t="s">
        <v>74</v>
      </c>
      <c r="AB197" t="s">
        <v>3146</v>
      </c>
      <c r="AC197" t="s">
        <v>74</v>
      </c>
      <c r="AD197" t="s">
        <v>74</v>
      </c>
      <c r="AE197" t="s">
        <v>74</v>
      </c>
      <c r="AF197" t="s">
        <v>74</v>
      </c>
      <c r="AG197">
        <v>30</v>
      </c>
      <c r="AH197">
        <v>112</v>
      </c>
      <c r="AI197">
        <v>126</v>
      </c>
      <c r="AJ197">
        <v>2</v>
      </c>
      <c r="AK197">
        <v>33</v>
      </c>
      <c r="AL197" t="s">
        <v>1263</v>
      </c>
      <c r="AM197" t="s">
        <v>540</v>
      </c>
      <c r="AN197" t="s">
        <v>1264</v>
      </c>
      <c r="AO197" t="s">
        <v>1265</v>
      </c>
      <c r="AP197" t="s">
        <v>74</v>
      </c>
      <c r="AQ197" t="s">
        <v>74</v>
      </c>
      <c r="AR197" t="s">
        <v>1267</v>
      </c>
      <c r="AS197" t="s">
        <v>1268</v>
      </c>
      <c r="AT197" t="s">
        <v>3121</v>
      </c>
      <c r="AU197">
        <v>2003</v>
      </c>
      <c r="AV197">
        <v>69</v>
      </c>
      <c r="AW197">
        <v>8</v>
      </c>
      <c r="AX197" t="s">
        <v>74</v>
      </c>
      <c r="AY197" t="s">
        <v>74</v>
      </c>
      <c r="AZ197" t="s">
        <v>74</v>
      </c>
      <c r="BA197" t="s">
        <v>74</v>
      </c>
      <c r="BB197">
        <v>4910</v>
      </c>
      <c r="BC197">
        <v>4914</v>
      </c>
      <c r="BD197" t="s">
        <v>74</v>
      </c>
      <c r="BE197" t="s">
        <v>3147</v>
      </c>
      <c r="BF197" t="str">
        <f>HYPERLINK("http://dx.doi.org/10.1128/AEM.69.8.4910-4914.2003","http://dx.doi.org/10.1128/AEM.69.8.4910-4914.2003")</f>
        <v>http://dx.doi.org/10.1128/AEM.69.8.4910-4914.2003</v>
      </c>
      <c r="BG197" t="s">
        <v>74</v>
      </c>
      <c r="BH197" t="s">
        <v>74</v>
      </c>
      <c r="BI197">
        <v>5</v>
      </c>
      <c r="BJ197" t="s">
        <v>1270</v>
      </c>
      <c r="BK197" t="s">
        <v>94</v>
      </c>
      <c r="BL197" t="s">
        <v>1270</v>
      </c>
      <c r="BM197" t="s">
        <v>3137</v>
      </c>
      <c r="BN197">
        <v>12902286</v>
      </c>
      <c r="BO197" t="s">
        <v>154</v>
      </c>
      <c r="BP197" t="s">
        <v>74</v>
      </c>
      <c r="BQ197" t="s">
        <v>74</v>
      </c>
      <c r="BR197" t="s">
        <v>97</v>
      </c>
      <c r="BS197" t="s">
        <v>3148</v>
      </c>
      <c r="BT197" t="str">
        <f>HYPERLINK("https%3A%2F%2Fwww.webofscience.com%2Fwos%2Fwoscc%2Ffull-record%2FWOS:000184672500073","View Full Record in Web of Science")</f>
        <v>View Full Record in Web of Science</v>
      </c>
    </row>
    <row r="198" spans="1:72" x14ac:dyDescent="0.15">
      <c r="A198" t="s">
        <v>72</v>
      </c>
      <c r="B198" t="s">
        <v>3149</v>
      </c>
      <c r="C198" t="s">
        <v>74</v>
      </c>
      <c r="D198" t="s">
        <v>74</v>
      </c>
      <c r="E198" t="s">
        <v>74</v>
      </c>
      <c r="F198" t="s">
        <v>3149</v>
      </c>
      <c r="G198" t="s">
        <v>74</v>
      </c>
      <c r="H198" t="s">
        <v>74</v>
      </c>
      <c r="I198" t="s">
        <v>3150</v>
      </c>
      <c r="J198" t="s">
        <v>3151</v>
      </c>
      <c r="K198" t="s">
        <v>74</v>
      </c>
      <c r="L198" t="s">
        <v>74</v>
      </c>
      <c r="M198" t="s">
        <v>77</v>
      </c>
      <c r="N198" t="s">
        <v>78</v>
      </c>
      <c r="O198" t="s">
        <v>74</v>
      </c>
      <c r="P198" t="s">
        <v>74</v>
      </c>
      <c r="Q198" t="s">
        <v>74</v>
      </c>
      <c r="R198" t="s">
        <v>74</v>
      </c>
      <c r="S198" t="s">
        <v>74</v>
      </c>
      <c r="T198" t="s">
        <v>74</v>
      </c>
      <c r="U198" t="s">
        <v>3152</v>
      </c>
      <c r="V198" t="s">
        <v>3153</v>
      </c>
      <c r="W198" t="s">
        <v>3154</v>
      </c>
      <c r="X198" t="s">
        <v>3155</v>
      </c>
      <c r="Y198" t="s">
        <v>3156</v>
      </c>
      <c r="Z198" t="s">
        <v>3157</v>
      </c>
      <c r="AA198" t="s">
        <v>3158</v>
      </c>
      <c r="AB198" t="s">
        <v>3159</v>
      </c>
      <c r="AC198" t="s">
        <v>74</v>
      </c>
      <c r="AD198" t="s">
        <v>74</v>
      </c>
      <c r="AE198" t="s">
        <v>74</v>
      </c>
      <c r="AF198" t="s">
        <v>74</v>
      </c>
      <c r="AG198">
        <v>54</v>
      </c>
      <c r="AH198">
        <v>56</v>
      </c>
      <c r="AI198">
        <v>65</v>
      </c>
      <c r="AJ198">
        <v>2</v>
      </c>
      <c r="AK198">
        <v>11</v>
      </c>
      <c r="AL198" t="s">
        <v>1651</v>
      </c>
      <c r="AM198" t="s">
        <v>1652</v>
      </c>
      <c r="AN198" t="s">
        <v>2361</v>
      </c>
      <c r="AO198" t="s">
        <v>3160</v>
      </c>
      <c r="AP198" t="s">
        <v>3161</v>
      </c>
      <c r="AQ198" t="s">
        <v>74</v>
      </c>
      <c r="AR198" t="s">
        <v>3162</v>
      </c>
      <c r="AS198" t="s">
        <v>3163</v>
      </c>
      <c r="AT198" t="s">
        <v>3121</v>
      </c>
      <c r="AU198">
        <v>2003</v>
      </c>
      <c r="AV198">
        <v>35</v>
      </c>
      <c r="AW198">
        <v>3</v>
      </c>
      <c r="AX198" t="s">
        <v>74</v>
      </c>
      <c r="AY198" t="s">
        <v>74</v>
      </c>
      <c r="AZ198" t="s">
        <v>74</v>
      </c>
      <c r="BA198" t="s">
        <v>74</v>
      </c>
      <c r="BB198">
        <v>271</v>
      </c>
      <c r="BC198">
        <v>278</v>
      </c>
      <c r="BD198" t="s">
        <v>74</v>
      </c>
      <c r="BE198" t="s">
        <v>3164</v>
      </c>
      <c r="BF198" t="str">
        <f>HYPERLINK("http://dx.doi.org/10.1657/1523-0430(2003)035[0271:RLRTRH]2.0.CO;2","http://dx.doi.org/10.1657/1523-0430(2003)035[0271:RLRTRH]2.0.CO;2")</f>
        <v>http://dx.doi.org/10.1657/1523-0430(2003)035[0271:RLRTRH]2.0.CO;2</v>
      </c>
      <c r="BG198" t="s">
        <v>74</v>
      </c>
      <c r="BH198" t="s">
        <v>74</v>
      </c>
      <c r="BI198">
        <v>8</v>
      </c>
      <c r="BJ198" t="s">
        <v>3165</v>
      </c>
      <c r="BK198" t="s">
        <v>94</v>
      </c>
      <c r="BL198" t="s">
        <v>3166</v>
      </c>
      <c r="BM198" t="s">
        <v>3167</v>
      </c>
      <c r="BN198" t="s">
        <v>74</v>
      </c>
      <c r="BO198" t="s">
        <v>551</v>
      </c>
      <c r="BP198" t="s">
        <v>74</v>
      </c>
      <c r="BQ198" t="s">
        <v>74</v>
      </c>
      <c r="BR198" t="s">
        <v>97</v>
      </c>
      <c r="BS198" t="s">
        <v>3168</v>
      </c>
      <c r="BT198" t="str">
        <f>HYPERLINK("https%3A%2F%2Fwww.webofscience.com%2Fwos%2Fwoscc%2Ffull-record%2FWOS:000185999300001","View Full Record in Web of Science")</f>
        <v>View Full Record in Web of Science</v>
      </c>
    </row>
    <row r="199" spans="1:72" x14ac:dyDescent="0.15">
      <c r="A199" t="s">
        <v>72</v>
      </c>
      <c r="B199" t="s">
        <v>3169</v>
      </c>
      <c r="C199" t="s">
        <v>74</v>
      </c>
      <c r="D199" t="s">
        <v>74</v>
      </c>
      <c r="E199" t="s">
        <v>74</v>
      </c>
      <c r="F199" t="s">
        <v>3169</v>
      </c>
      <c r="G199" t="s">
        <v>74</v>
      </c>
      <c r="H199" t="s">
        <v>74</v>
      </c>
      <c r="I199" t="s">
        <v>3170</v>
      </c>
      <c r="J199" t="s">
        <v>3151</v>
      </c>
      <c r="K199" t="s">
        <v>74</v>
      </c>
      <c r="L199" t="s">
        <v>74</v>
      </c>
      <c r="M199" t="s">
        <v>77</v>
      </c>
      <c r="N199" t="s">
        <v>78</v>
      </c>
      <c r="O199" t="s">
        <v>74</v>
      </c>
      <c r="P199" t="s">
        <v>74</v>
      </c>
      <c r="Q199" t="s">
        <v>74</v>
      </c>
      <c r="R199" t="s">
        <v>74</v>
      </c>
      <c r="S199" t="s">
        <v>74</v>
      </c>
      <c r="T199" t="s">
        <v>74</v>
      </c>
      <c r="U199" t="s">
        <v>3171</v>
      </c>
      <c r="V199" t="s">
        <v>3172</v>
      </c>
      <c r="W199" t="s">
        <v>3173</v>
      </c>
      <c r="X199" t="s">
        <v>3174</v>
      </c>
      <c r="Y199" t="s">
        <v>74</v>
      </c>
      <c r="Z199" t="s">
        <v>3175</v>
      </c>
      <c r="AA199" t="s">
        <v>74</v>
      </c>
      <c r="AB199" t="s">
        <v>74</v>
      </c>
      <c r="AC199" t="s">
        <v>74</v>
      </c>
      <c r="AD199" t="s">
        <v>74</v>
      </c>
      <c r="AE199" t="s">
        <v>74</v>
      </c>
      <c r="AF199" t="s">
        <v>74</v>
      </c>
      <c r="AG199">
        <v>52</v>
      </c>
      <c r="AH199">
        <v>33</v>
      </c>
      <c r="AI199">
        <v>36</v>
      </c>
      <c r="AJ199">
        <v>3</v>
      </c>
      <c r="AK199">
        <v>27</v>
      </c>
      <c r="AL199" t="s">
        <v>1651</v>
      </c>
      <c r="AM199" t="s">
        <v>1652</v>
      </c>
      <c r="AN199" t="s">
        <v>2361</v>
      </c>
      <c r="AO199" t="s">
        <v>3160</v>
      </c>
      <c r="AP199" t="s">
        <v>3161</v>
      </c>
      <c r="AQ199" t="s">
        <v>74</v>
      </c>
      <c r="AR199" t="s">
        <v>3162</v>
      </c>
      <c r="AS199" t="s">
        <v>3163</v>
      </c>
      <c r="AT199" t="s">
        <v>3121</v>
      </c>
      <c r="AU199">
        <v>2003</v>
      </c>
      <c r="AV199">
        <v>35</v>
      </c>
      <c r="AW199">
        <v>3</v>
      </c>
      <c r="AX199" t="s">
        <v>74</v>
      </c>
      <c r="AY199" t="s">
        <v>74</v>
      </c>
      <c r="AZ199" t="s">
        <v>74</v>
      </c>
      <c r="BA199" t="s">
        <v>74</v>
      </c>
      <c r="BB199">
        <v>279</v>
      </c>
      <c r="BC199">
        <v>290</v>
      </c>
      <c r="BD199" t="s">
        <v>74</v>
      </c>
      <c r="BE199" t="s">
        <v>3176</v>
      </c>
      <c r="BF199" t="str">
        <f>HYPERLINK("http://dx.doi.org/10.1657/1523-0430(2003)035[0279:DDCAPR]2.0.CO;2","http://dx.doi.org/10.1657/1523-0430(2003)035[0279:DDCAPR]2.0.CO;2")</f>
        <v>http://dx.doi.org/10.1657/1523-0430(2003)035[0279:DDCAPR]2.0.CO;2</v>
      </c>
      <c r="BG199" t="s">
        <v>74</v>
      </c>
      <c r="BH199" t="s">
        <v>74</v>
      </c>
      <c r="BI199">
        <v>12</v>
      </c>
      <c r="BJ199" t="s">
        <v>3165</v>
      </c>
      <c r="BK199" t="s">
        <v>94</v>
      </c>
      <c r="BL199" t="s">
        <v>3166</v>
      </c>
      <c r="BM199" t="s">
        <v>3167</v>
      </c>
      <c r="BN199" t="s">
        <v>74</v>
      </c>
      <c r="BO199" t="s">
        <v>1767</v>
      </c>
      <c r="BP199" t="s">
        <v>74</v>
      </c>
      <c r="BQ199" t="s">
        <v>74</v>
      </c>
      <c r="BR199" t="s">
        <v>97</v>
      </c>
      <c r="BS199" t="s">
        <v>3177</v>
      </c>
      <c r="BT199" t="str">
        <f>HYPERLINK("https%3A%2F%2Fwww.webofscience.com%2Fwos%2Fwoscc%2Ffull-record%2FWOS:000185999300002","View Full Record in Web of Science")</f>
        <v>View Full Record in Web of Science</v>
      </c>
    </row>
    <row r="200" spans="1:72" x14ac:dyDescent="0.15">
      <c r="A200" t="s">
        <v>72</v>
      </c>
      <c r="B200" t="s">
        <v>3178</v>
      </c>
      <c r="C200" t="s">
        <v>74</v>
      </c>
      <c r="D200" t="s">
        <v>74</v>
      </c>
      <c r="E200" t="s">
        <v>74</v>
      </c>
      <c r="F200" t="s">
        <v>3178</v>
      </c>
      <c r="G200" t="s">
        <v>74</v>
      </c>
      <c r="H200" t="s">
        <v>74</v>
      </c>
      <c r="I200" t="s">
        <v>3179</v>
      </c>
      <c r="J200" t="s">
        <v>3151</v>
      </c>
      <c r="K200" t="s">
        <v>74</v>
      </c>
      <c r="L200" t="s">
        <v>74</v>
      </c>
      <c r="M200" t="s">
        <v>77</v>
      </c>
      <c r="N200" t="s">
        <v>78</v>
      </c>
      <c r="O200" t="s">
        <v>74</v>
      </c>
      <c r="P200" t="s">
        <v>74</v>
      </c>
      <c r="Q200" t="s">
        <v>74</v>
      </c>
      <c r="R200" t="s">
        <v>74</v>
      </c>
      <c r="S200" t="s">
        <v>74</v>
      </c>
      <c r="T200" t="s">
        <v>74</v>
      </c>
      <c r="U200" t="s">
        <v>3180</v>
      </c>
      <c r="V200" t="s">
        <v>3181</v>
      </c>
      <c r="W200" t="s">
        <v>3182</v>
      </c>
      <c r="X200" t="s">
        <v>3183</v>
      </c>
      <c r="Y200" t="s">
        <v>3184</v>
      </c>
      <c r="Z200" t="s">
        <v>74</v>
      </c>
      <c r="AA200" t="s">
        <v>74</v>
      </c>
      <c r="AB200" t="s">
        <v>74</v>
      </c>
      <c r="AC200" t="s">
        <v>74</v>
      </c>
      <c r="AD200" t="s">
        <v>74</v>
      </c>
      <c r="AE200" t="s">
        <v>74</v>
      </c>
      <c r="AF200" t="s">
        <v>74</v>
      </c>
      <c r="AG200">
        <v>56</v>
      </c>
      <c r="AH200">
        <v>210</v>
      </c>
      <c r="AI200">
        <v>253</v>
      </c>
      <c r="AJ200">
        <v>1</v>
      </c>
      <c r="AK200">
        <v>65</v>
      </c>
      <c r="AL200" t="s">
        <v>3185</v>
      </c>
      <c r="AM200" t="s">
        <v>1748</v>
      </c>
      <c r="AN200" t="s">
        <v>3186</v>
      </c>
      <c r="AO200" t="s">
        <v>3160</v>
      </c>
      <c r="AP200" t="s">
        <v>74</v>
      </c>
      <c r="AQ200" t="s">
        <v>74</v>
      </c>
      <c r="AR200" t="s">
        <v>3162</v>
      </c>
      <c r="AS200" t="s">
        <v>3163</v>
      </c>
      <c r="AT200" t="s">
        <v>3121</v>
      </c>
      <c r="AU200">
        <v>2003</v>
      </c>
      <c r="AV200">
        <v>35</v>
      </c>
      <c r="AW200">
        <v>3</v>
      </c>
      <c r="AX200" t="s">
        <v>74</v>
      </c>
      <c r="AY200" t="s">
        <v>74</v>
      </c>
      <c r="AZ200" t="s">
        <v>74</v>
      </c>
      <c r="BA200" t="s">
        <v>74</v>
      </c>
      <c r="BB200">
        <v>291</v>
      </c>
      <c r="BC200">
        <v>300</v>
      </c>
      <c r="BD200" t="s">
        <v>74</v>
      </c>
      <c r="BE200" t="s">
        <v>3187</v>
      </c>
      <c r="BF200" t="str">
        <f>HYPERLINK("http://dx.doi.org/10.1657/1523-0430(2003)035[0291:SEAACS]2.0.CO;2","http://dx.doi.org/10.1657/1523-0430(2003)035[0291:SEAACS]2.0.CO;2")</f>
        <v>http://dx.doi.org/10.1657/1523-0430(2003)035[0291:SEAACS]2.0.CO;2</v>
      </c>
      <c r="BG200" t="s">
        <v>74</v>
      </c>
      <c r="BH200" t="s">
        <v>74</v>
      </c>
      <c r="BI200">
        <v>10</v>
      </c>
      <c r="BJ200" t="s">
        <v>3165</v>
      </c>
      <c r="BK200" t="s">
        <v>94</v>
      </c>
      <c r="BL200" t="s">
        <v>3166</v>
      </c>
      <c r="BM200" t="s">
        <v>3167</v>
      </c>
      <c r="BN200" t="s">
        <v>74</v>
      </c>
      <c r="BO200" t="s">
        <v>1767</v>
      </c>
      <c r="BP200" t="s">
        <v>74</v>
      </c>
      <c r="BQ200" t="s">
        <v>74</v>
      </c>
      <c r="BR200" t="s">
        <v>97</v>
      </c>
      <c r="BS200" t="s">
        <v>3188</v>
      </c>
      <c r="BT200" t="str">
        <f>HYPERLINK("https%3A%2F%2Fwww.webofscience.com%2Fwos%2Fwoscc%2Ffull-record%2FWOS:000185999300003","View Full Record in Web of Science")</f>
        <v>View Full Record in Web of Science</v>
      </c>
    </row>
    <row r="201" spans="1:72" x14ac:dyDescent="0.15">
      <c r="A201" t="s">
        <v>72</v>
      </c>
      <c r="B201" t="s">
        <v>3189</v>
      </c>
      <c r="C201" t="s">
        <v>74</v>
      </c>
      <c r="D201" t="s">
        <v>74</v>
      </c>
      <c r="E201" t="s">
        <v>74</v>
      </c>
      <c r="F201" t="s">
        <v>3189</v>
      </c>
      <c r="G201" t="s">
        <v>74</v>
      </c>
      <c r="H201" t="s">
        <v>74</v>
      </c>
      <c r="I201" t="s">
        <v>3190</v>
      </c>
      <c r="J201" t="s">
        <v>3151</v>
      </c>
      <c r="K201" t="s">
        <v>74</v>
      </c>
      <c r="L201" t="s">
        <v>74</v>
      </c>
      <c r="M201" t="s">
        <v>77</v>
      </c>
      <c r="N201" t="s">
        <v>78</v>
      </c>
      <c r="O201" t="s">
        <v>74</v>
      </c>
      <c r="P201" t="s">
        <v>74</v>
      </c>
      <c r="Q201" t="s">
        <v>74</v>
      </c>
      <c r="R201" t="s">
        <v>74</v>
      </c>
      <c r="S201" t="s">
        <v>74</v>
      </c>
      <c r="T201" t="s">
        <v>74</v>
      </c>
      <c r="U201" t="s">
        <v>3191</v>
      </c>
      <c r="V201" t="s">
        <v>3192</v>
      </c>
      <c r="W201" t="s">
        <v>3193</v>
      </c>
      <c r="X201" t="s">
        <v>3194</v>
      </c>
      <c r="Y201" t="s">
        <v>3195</v>
      </c>
      <c r="Z201" t="s">
        <v>3196</v>
      </c>
      <c r="AA201" t="s">
        <v>3197</v>
      </c>
      <c r="AB201" t="s">
        <v>3198</v>
      </c>
      <c r="AC201" t="s">
        <v>74</v>
      </c>
      <c r="AD201" t="s">
        <v>74</v>
      </c>
      <c r="AE201" t="s">
        <v>74</v>
      </c>
      <c r="AF201" t="s">
        <v>74</v>
      </c>
      <c r="AG201">
        <v>62</v>
      </c>
      <c r="AH201">
        <v>76</v>
      </c>
      <c r="AI201">
        <v>83</v>
      </c>
      <c r="AJ201">
        <v>0</v>
      </c>
      <c r="AK201">
        <v>36</v>
      </c>
      <c r="AL201" t="s">
        <v>1651</v>
      </c>
      <c r="AM201" t="s">
        <v>1652</v>
      </c>
      <c r="AN201" t="s">
        <v>2361</v>
      </c>
      <c r="AO201" t="s">
        <v>3160</v>
      </c>
      <c r="AP201" t="s">
        <v>3161</v>
      </c>
      <c r="AQ201" t="s">
        <v>74</v>
      </c>
      <c r="AR201" t="s">
        <v>3162</v>
      </c>
      <c r="AS201" t="s">
        <v>3163</v>
      </c>
      <c r="AT201" t="s">
        <v>3121</v>
      </c>
      <c r="AU201">
        <v>2003</v>
      </c>
      <c r="AV201">
        <v>35</v>
      </c>
      <c r="AW201">
        <v>3</v>
      </c>
      <c r="AX201" t="s">
        <v>74</v>
      </c>
      <c r="AY201" t="s">
        <v>74</v>
      </c>
      <c r="AZ201" t="s">
        <v>74</v>
      </c>
      <c r="BA201" t="s">
        <v>74</v>
      </c>
      <c r="BB201">
        <v>301</v>
      </c>
      <c r="BC201">
        <v>312</v>
      </c>
      <c r="BD201" t="s">
        <v>74</v>
      </c>
      <c r="BE201" t="s">
        <v>3199</v>
      </c>
      <c r="BF201" t="str">
        <f>HYPERLINK("http://dx.doi.org/10.1657/1523-0430(2003)035[0301:PCCTAC]2.0.CO;2","http://dx.doi.org/10.1657/1523-0430(2003)035[0301:PCCTAC]2.0.CO;2")</f>
        <v>http://dx.doi.org/10.1657/1523-0430(2003)035[0301:PCCTAC]2.0.CO;2</v>
      </c>
      <c r="BG201" t="s">
        <v>74</v>
      </c>
      <c r="BH201" t="s">
        <v>74</v>
      </c>
      <c r="BI201">
        <v>12</v>
      </c>
      <c r="BJ201" t="s">
        <v>3165</v>
      </c>
      <c r="BK201" t="s">
        <v>94</v>
      </c>
      <c r="BL201" t="s">
        <v>3166</v>
      </c>
      <c r="BM201" t="s">
        <v>3167</v>
      </c>
      <c r="BN201" t="s">
        <v>74</v>
      </c>
      <c r="BO201" t="s">
        <v>1767</v>
      </c>
      <c r="BP201" t="s">
        <v>74</v>
      </c>
      <c r="BQ201" t="s">
        <v>74</v>
      </c>
      <c r="BR201" t="s">
        <v>97</v>
      </c>
      <c r="BS201" t="s">
        <v>3200</v>
      </c>
      <c r="BT201" t="str">
        <f>HYPERLINK("https%3A%2F%2Fwww.webofscience.com%2Fwos%2Fwoscc%2Ffull-record%2FWOS:000185999300004","View Full Record in Web of Science")</f>
        <v>View Full Record in Web of Science</v>
      </c>
    </row>
    <row r="202" spans="1:72" x14ac:dyDescent="0.15">
      <c r="A202" t="s">
        <v>72</v>
      </c>
      <c r="B202" t="s">
        <v>3201</v>
      </c>
      <c r="C202" t="s">
        <v>74</v>
      </c>
      <c r="D202" t="s">
        <v>74</v>
      </c>
      <c r="E202" t="s">
        <v>74</v>
      </c>
      <c r="F202" t="s">
        <v>3201</v>
      </c>
      <c r="G202" t="s">
        <v>74</v>
      </c>
      <c r="H202" t="s">
        <v>74</v>
      </c>
      <c r="I202" t="s">
        <v>3202</v>
      </c>
      <c r="J202" t="s">
        <v>3151</v>
      </c>
      <c r="K202" t="s">
        <v>74</v>
      </c>
      <c r="L202" t="s">
        <v>74</v>
      </c>
      <c r="M202" t="s">
        <v>77</v>
      </c>
      <c r="N202" t="s">
        <v>78</v>
      </c>
      <c r="O202" t="s">
        <v>74</v>
      </c>
      <c r="P202" t="s">
        <v>74</v>
      </c>
      <c r="Q202" t="s">
        <v>74</v>
      </c>
      <c r="R202" t="s">
        <v>74</v>
      </c>
      <c r="S202" t="s">
        <v>74</v>
      </c>
      <c r="T202" t="s">
        <v>74</v>
      </c>
      <c r="U202" t="s">
        <v>3203</v>
      </c>
      <c r="V202" t="s">
        <v>3204</v>
      </c>
      <c r="W202" t="s">
        <v>3205</v>
      </c>
      <c r="X202" t="s">
        <v>3206</v>
      </c>
      <c r="Y202" t="s">
        <v>3207</v>
      </c>
      <c r="Z202" t="s">
        <v>3208</v>
      </c>
      <c r="AA202" t="s">
        <v>3209</v>
      </c>
      <c r="AB202" t="s">
        <v>3210</v>
      </c>
      <c r="AC202" t="s">
        <v>74</v>
      </c>
      <c r="AD202" t="s">
        <v>74</v>
      </c>
      <c r="AE202" t="s">
        <v>74</v>
      </c>
      <c r="AF202" t="s">
        <v>74</v>
      </c>
      <c r="AG202">
        <v>71</v>
      </c>
      <c r="AH202">
        <v>115</v>
      </c>
      <c r="AI202">
        <v>122</v>
      </c>
      <c r="AJ202">
        <v>0</v>
      </c>
      <c r="AK202">
        <v>44</v>
      </c>
      <c r="AL202" t="s">
        <v>1651</v>
      </c>
      <c r="AM202" t="s">
        <v>1652</v>
      </c>
      <c r="AN202" t="s">
        <v>2361</v>
      </c>
      <c r="AO202" t="s">
        <v>3160</v>
      </c>
      <c r="AP202" t="s">
        <v>3161</v>
      </c>
      <c r="AQ202" t="s">
        <v>74</v>
      </c>
      <c r="AR202" t="s">
        <v>3162</v>
      </c>
      <c r="AS202" t="s">
        <v>3163</v>
      </c>
      <c r="AT202" t="s">
        <v>3121</v>
      </c>
      <c r="AU202">
        <v>2003</v>
      </c>
      <c r="AV202">
        <v>35</v>
      </c>
      <c r="AW202">
        <v>3</v>
      </c>
      <c r="AX202" t="s">
        <v>74</v>
      </c>
      <c r="AY202" t="s">
        <v>74</v>
      </c>
      <c r="AZ202" t="s">
        <v>74</v>
      </c>
      <c r="BA202" t="s">
        <v>74</v>
      </c>
      <c r="BB202">
        <v>313</v>
      </c>
      <c r="BC202">
        <v>322</v>
      </c>
      <c r="BD202" t="s">
        <v>74</v>
      </c>
      <c r="BE202" t="s">
        <v>3211</v>
      </c>
      <c r="BF202" t="str">
        <f>HYPERLINK("http://dx.doi.org/10.1657/1523-0430(2003)035[0313:ASHCAA]2.0.CO;2","http://dx.doi.org/10.1657/1523-0430(2003)035[0313:ASHCAA]2.0.CO;2")</f>
        <v>http://dx.doi.org/10.1657/1523-0430(2003)035[0313:ASHCAA]2.0.CO;2</v>
      </c>
      <c r="BG202" t="s">
        <v>74</v>
      </c>
      <c r="BH202" t="s">
        <v>74</v>
      </c>
      <c r="BI202">
        <v>10</v>
      </c>
      <c r="BJ202" t="s">
        <v>3165</v>
      </c>
      <c r="BK202" t="s">
        <v>94</v>
      </c>
      <c r="BL202" t="s">
        <v>3166</v>
      </c>
      <c r="BM202" t="s">
        <v>3167</v>
      </c>
      <c r="BN202" t="s">
        <v>74</v>
      </c>
      <c r="BO202" t="s">
        <v>1767</v>
      </c>
      <c r="BP202" t="s">
        <v>74</v>
      </c>
      <c r="BQ202" t="s">
        <v>74</v>
      </c>
      <c r="BR202" t="s">
        <v>97</v>
      </c>
      <c r="BS202" t="s">
        <v>3212</v>
      </c>
      <c r="BT202" t="str">
        <f>HYPERLINK("https%3A%2F%2Fwww.webofscience.com%2Fwos%2Fwoscc%2Ffull-record%2FWOS:000185999300005","View Full Record in Web of Science")</f>
        <v>View Full Record in Web of Science</v>
      </c>
    </row>
    <row r="203" spans="1:72" x14ac:dyDescent="0.15">
      <c r="A203" t="s">
        <v>72</v>
      </c>
      <c r="B203" t="s">
        <v>3213</v>
      </c>
      <c r="C203" t="s">
        <v>74</v>
      </c>
      <c r="D203" t="s">
        <v>74</v>
      </c>
      <c r="E203" t="s">
        <v>74</v>
      </c>
      <c r="F203" t="s">
        <v>3213</v>
      </c>
      <c r="G203" t="s">
        <v>74</v>
      </c>
      <c r="H203" t="s">
        <v>74</v>
      </c>
      <c r="I203" t="s">
        <v>3214</v>
      </c>
      <c r="J203" t="s">
        <v>3151</v>
      </c>
      <c r="K203" t="s">
        <v>74</v>
      </c>
      <c r="L203" t="s">
        <v>74</v>
      </c>
      <c r="M203" t="s">
        <v>77</v>
      </c>
      <c r="N203" t="s">
        <v>78</v>
      </c>
      <c r="O203" t="s">
        <v>74</v>
      </c>
      <c r="P203" t="s">
        <v>74</v>
      </c>
      <c r="Q203" t="s">
        <v>74</v>
      </c>
      <c r="R203" t="s">
        <v>74</v>
      </c>
      <c r="S203" t="s">
        <v>74</v>
      </c>
      <c r="T203" t="s">
        <v>74</v>
      </c>
      <c r="U203" t="s">
        <v>3215</v>
      </c>
      <c r="V203" t="s">
        <v>3216</v>
      </c>
      <c r="W203" t="s">
        <v>3217</v>
      </c>
      <c r="X203" t="s">
        <v>3218</v>
      </c>
      <c r="Y203" t="s">
        <v>3219</v>
      </c>
      <c r="Z203" t="s">
        <v>3220</v>
      </c>
      <c r="AA203" t="s">
        <v>3221</v>
      </c>
      <c r="AB203" t="s">
        <v>74</v>
      </c>
      <c r="AC203" t="s">
        <v>74</v>
      </c>
      <c r="AD203" t="s">
        <v>74</v>
      </c>
      <c r="AE203" t="s">
        <v>74</v>
      </c>
      <c r="AF203" t="s">
        <v>74</v>
      </c>
      <c r="AG203">
        <v>50</v>
      </c>
      <c r="AH203">
        <v>21</v>
      </c>
      <c r="AI203">
        <v>26</v>
      </c>
      <c r="AJ203">
        <v>0</v>
      </c>
      <c r="AK203">
        <v>14</v>
      </c>
      <c r="AL203" t="s">
        <v>1651</v>
      </c>
      <c r="AM203" t="s">
        <v>1652</v>
      </c>
      <c r="AN203" t="s">
        <v>2361</v>
      </c>
      <c r="AO203" t="s">
        <v>3160</v>
      </c>
      <c r="AP203" t="s">
        <v>3161</v>
      </c>
      <c r="AQ203" t="s">
        <v>74</v>
      </c>
      <c r="AR203" t="s">
        <v>3162</v>
      </c>
      <c r="AS203" t="s">
        <v>3163</v>
      </c>
      <c r="AT203" t="s">
        <v>3121</v>
      </c>
      <c r="AU203">
        <v>2003</v>
      </c>
      <c r="AV203">
        <v>35</v>
      </c>
      <c r="AW203">
        <v>3</v>
      </c>
      <c r="AX203" t="s">
        <v>74</v>
      </c>
      <c r="AY203" t="s">
        <v>74</v>
      </c>
      <c r="AZ203" t="s">
        <v>74</v>
      </c>
      <c r="BA203" t="s">
        <v>74</v>
      </c>
      <c r="BB203">
        <v>323</v>
      </c>
      <c r="BC203">
        <v>330</v>
      </c>
      <c r="BD203" t="s">
        <v>74</v>
      </c>
      <c r="BE203" t="s">
        <v>3222</v>
      </c>
      <c r="BF203" t="str">
        <f>HYPERLINK("http://dx.doi.org/10.1657/1523-0430(2003)035[0323:SVIDAG]2.0.CO;2","http://dx.doi.org/10.1657/1523-0430(2003)035[0323:SVIDAG]2.0.CO;2")</f>
        <v>http://dx.doi.org/10.1657/1523-0430(2003)035[0323:SVIDAG]2.0.CO;2</v>
      </c>
      <c r="BG203" t="s">
        <v>74</v>
      </c>
      <c r="BH203" t="s">
        <v>74</v>
      </c>
      <c r="BI203">
        <v>8</v>
      </c>
      <c r="BJ203" t="s">
        <v>3165</v>
      </c>
      <c r="BK203" t="s">
        <v>94</v>
      </c>
      <c r="BL203" t="s">
        <v>3166</v>
      </c>
      <c r="BM203" t="s">
        <v>3167</v>
      </c>
      <c r="BN203" t="s">
        <v>74</v>
      </c>
      <c r="BO203" t="s">
        <v>1767</v>
      </c>
      <c r="BP203" t="s">
        <v>74</v>
      </c>
      <c r="BQ203" t="s">
        <v>74</v>
      </c>
      <c r="BR203" t="s">
        <v>97</v>
      </c>
      <c r="BS203" t="s">
        <v>3223</v>
      </c>
      <c r="BT203" t="str">
        <f>HYPERLINK("https%3A%2F%2Fwww.webofscience.com%2Fwos%2Fwoscc%2Ffull-record%2FWOS:000185999300006","View Full Record in Web of Science")</f>
        <v>View Full Record in Web of Science</v>
      </c>
    </row>
    <row r="204" spans="1:72" x14ac:dyDescent="0.15">
      <c r="A204" t="s">
        <v>72</v>
      </c>
      <c r="B204" t="s">
        <v>3224</v>
      </c>
      <c r="C204" t="s">
        <v>74</v>
      </c>
      <c r="D204" t="s">
        <v>74</v>
      </c>
      <c r="E204" t="s">
        <v>74</v>
      </c>
      <c r="F204" t="s">
        <v>3224</v>
      </c>
      <c r="G204" t="s">
        <v>74</v>
      </c>
      <c r="H204" t="s">
        <v>74</v>
      </c>
      <c r="I204" t="s">
        <v>3225</v>
      </c>
      <c r="J204" t="s">
        <v>3151</v>
      </c>
      <c r="K204" t="s">
        <v>74</v>
      </c>
      <c r="L204" t="s">
        <v>74</v>
      </c>
      <c r="M204" t="s">
        <v>77</v>
      </c>
      <c r="N204" t="s">
        <v>78</v>
      </c>
      <c r="O204" t="s">
        <v>74</v>
      </c>
      <c r="P204" t="s">
        <v>74</v>
      </c>
      <c r="Q204" t="s">
        <v>74</v>
      </c>
      <c r="R204" t="s">
        <v>74</v>
      </c>
      <c r="S204" t="s">
        <v>74</v>
      </c>
      <c r="T204" t="s">
        <v>74</v>
      </c>
      <c r="U204" t="s">
        <v>3226</v>
      </c>
      <c r="V204" t="s">
        <v>3227</v>
      </c>
      <c r="W204" t="s">
        <v>3228</v>
      </c>
      <c r="X204" t="s">
        <v>3229</v>
      </c>
      <c r="Y204" t="s">
        <v>3230</v>
      </c>
      <c r="Z204" t="s">
        <v>74</v>
      </c>
      <c r="AA204" t="s">
        <v>74</v>
      </c>
      <c r="AB204" t="s">
        <v>74</v>
      </c>
      <c r="AC204" t="s">
        <v>74</v>
      </c>
      <c r="AD204" t="s">
        <v>74</v>
      </c>
      <c r="AE204" t="s">
        <v>74</v>
      </c>
      <c r="AF204" t="s">
        <v>74</v>
      </c>
      <c r="AG204">
        <v>49</v>
      </c>
      <c r="AH204">
        <v>19</v>
      </c>
      <c r="AI204">
        <v>23</v>
      </c>
      <c r="AJ204">
        <v>1</v>
      </c>
      <c r="AK204">
        <v>14</v>
      </c>
      <c r="AL204" t="s">
        <v>3185</v>
      </c>
      <c r="AM204" t="s">
        <v>1748</v>
      </c>
      <c r="AN204" t="s">
        <v>3186</v>
      </c>
      <c r="AO204" t="s">
        <v>3160</v>
      </c>
      <c r="AP204" t="s">
        <v>74</v>
      </c>
      <c r="AQ204" t="s">
        <v>74</v>
      </c>
      <c r="AR204" t="s">
        <v>3162</v>
      </c>
      <c r="AS204" t="s">
        <v>3163</v>
      </c>
      <c r="AT204" t="s">
        <v>3121</v>
      </c>
      <c r="AU204">
        <v>2003</v>
      </c>
      <c r="AV204">
        <v>35</v>
      </c>
      <c r="AW204">
        <v>3</v>
      </c>
      <c r="AX204" t="s">
        <v>74</v>
      </c>
      <c r="AY204" t="s">
        <v>74</v>
      </c>
      <c r="AZ204" t="s">
        <v>74</v>
      </c>
      <c r="BA204" t="s">
        <v>74</v>
      </c>
      <c r="BB204">
        <v>331</v>
      </c>
      <c r="BC204">
        <v>340</v>
      </c>
      <c r="BD204" t="s">
        <v>74</v>
      </c>
      <c r="BE204" t="s">
        <v>3231</v>
      </c>
      <c r="BF204" t="str">
        <f>HYPERLINK("http://dx.doi.org/10.1657/1523-0430(2003)035[0331:FATDOP]2.0.CO;2","http://dx.doi.org/10.1657/1523-0430(2003)035[0331:FATDOP]2.0.CO;2")</f>
        <v>http://dx.doi.org/10.1657/1523-0430(2003)035[0331:FATDOP]2.0.CO;2</v>
      </c>
      <c r="BG204" t="s">
        <v>74</v>
      </c>
      <c r="BH204" t="s">
        <v>74</v>
      </c>
      <c r="BI204">
        <v>10</v>
      </c>
      <c r="BJ204" t="s">
        <v>3165</v>
      </c>
      <c r="BK204" t="s">
        <v>94</v>
      </c>
      <c r="BL204" t="s">
        <v>3166</v>
      </c>
      <c r="BM204" t="s">
        <v>3167</v>
      </c>
      <c r="BN204" t="s">
        <v>74</v>
      </c>
      <c r="BO204" t="s">
        <v>1767</v>
      </c>
      <c r="BP204" t="s">
        <v>74</v>
      </c>
      <c r="BQ204" t="s">
        <v>74</v>
      </c>
      <c r="BR204" t="s">
        <v>97</v>
      </c>
      <c r="BS204" t="s">
        <v>3232</v>
      </c>
      <c r="BT204" t="str">
        <f>HYPERLINK("https%3A%2F%2Fwww.webofscience.com%2Fwos%2Fwoscc%2Ffull-record%2FWOS:000185999300007","View Full Record in Web of Science")</f>
        <v>View Full Record in Web of Science</v>
      </c>
    </row>
    <row r="205" spans="1:72" x14ac:dyDescent="0.15">
      <c r="A205" t="s">
        <v>72</v>
      </c>
      <c r="B205" t="s">
        <v>3233</v>
      </c>
      <c r="C205" t="s">
        <v>74</v>
      </c>
      <c r="D205" t="s">
        <v>74</v>
      </c>
      <c r="E205" t="s">
        <v>74</v>
      </c>
      <c r="F205" t="s">
        <v>3233</v>
      </c>
      <c r="G205" t="s">
        <v>74</v>
      </c>
      <c r="H205" t="s">
        <v>74</v>
      </c>
      <c r="I205" t="s">
        <v>3234</v>
      </c>
      <c r="J205" t="s">
        <v>3151</v>
      </c>
      <c r="K205" t="s">
        <v>74</v>
      </c>
      <c r="L205" t="s">
        <v>74</v>
      </c>
      <c r="M205" t="s">
        <v>77</v>
      </c>
      <c r="N205" t="s">
        <v>78</v>
      </c>
      <c r="O205" t="s">
        <v>74</v>
      </c>
      <c r="P205" t="s">
        <v>74</v>
      </c>
      <c r="Q205" t="s">
        <v>74</v>
      </c>
      <c r="R205" t="s">
        <v>74</v>
      </c>
      <c r="S205" t="s">
        <v>74</v>
      </c>
      <c r="T205" t="s">
        <v>74</v>
      </c>
      <c r="U205" t="s">
        <v>3235</v>
      </c>
      <c r="V205" t="s">
        <v>3236</v>
      </c>
      <c r="W205" t="s">
        <v>3237</v>
      </c>
      <c r="X205" t="s">
        <v>3238</v>
      </c>
      <c r="Y205" t="s">
        <v>3239</v>
      </c>
      <c r="Z205" t="s">
        <v>3240</v>
      </c>
      <c r="AA205" t="s">
        <v>74</v>
      </c>
      <c r="AB205" t="s">
        <v>74</v>
      </c>
      <c r="AC205" t="s">
        <v>74</v>
      </c>
      <c r="AD205" t="s">
        <v>74</v>
      </c>
      <c r="AE205" t="s">
        <v>74</v>
      </c>
      <c r="AF205" t="s">
        <v>74</v>
      </c>
      <c r="AG205">
        <v>76</v>
      </c>
      <c r="AH205">
        <v>11</v>
      </c>
      <c r="AI205">
        <v>11</v>
      </c>
      <c r="AJ205">
        <v>0</v>
      </c>
      <c r="AK205">
        <v>11</v>
      </c>
      <c r="AL205" t="s">
        <v>1651</v>
      </c>
      <c r="AM205" t="s">
        <v>1652</v>
      </c>
      <c r="AN205" t="s">
        <v>2361</v>
      </c>
      <c r="AO205" t="s">
        <v>3160</v>
      </c>
      <c r="AP205" t="s">
        <v>3161</v>
      </c>
      <c r="AQ205" t="s">
        <v>74</v>
      </c>
      <c r="AR205" t="s">
        <v>3162</v>
      </c>
      <c r="AS205" t="s">
        <v>3163</v>
      </c>
      <c r="AT205" t="s">
        <v>3121</v>
      </c>
      <c r="AU205">
        <v>2003</v>
      </c>
      <c r="AV205">
        <v>35</v>
      </c>
      <c r="AW205">
        <v>3</v>
      </c>
      <c r="AX205" t="s">
        <v>74</v>
      </c>
      <c r="AY205" t="s">
        <v>74</v>
      </c>
      <c r="AZ205" t="s">
        <v>74</v>
      </c>
      <c r="BA205" t="s">
        <v>74</v>
      </c>
      <c r="BB205">
        <v>341</v>
      </c>
      <c r="BC205">
        <v>348</v>
      </c>
      <c r="BD205" t="s">
        <v>74</v>
      </c>
      <c r="BE205" t="s">
        <v>3241</v>
      </c>
      <c r="BF205" t="str">
        <f>HYPERLINK("http://dx.doi.org/10.1657/1523-0430(2003)035[0341:EOSECO]2.0.CO;2","http://dx.doi.org/10.1657/1523-0430(2003)035[0341:EOSECO]2.0.CO;2")</f>
        <v>http://dx.doi.org/10.1657/1523-0430(2003)035[0341:EOSECO]2.0.CO;2</v>
      </c>
      <c r="BG205" t="s">
        <v>74</v>
      </c>
      <c r="BH205" t="s">
        <v>74</v>
      </c>
      <c r="BI205">
        <v>8</v>
      </c>
      <c r="BJ205" t="s">
        <v>3165</v>
      </c>
      <c r="BK205" t="s">
        <v>94</v>
      </c>
      <c r="BL205" t="s">
        <v>3166</v>
      </c>
      <c r="BM205" t="s">
        <v>3167</v>
      </c>
      <c r="BN205" t="s">
        <v>74</v>
      </c>
      <c r="BO205" t="s">
        <v>1619</v>
      </c>
      <c r="BP205" t="s">
        <v>74</v>
      </c>
      <c r="BQ205" t="s">
        <v>74</v>
      </c>
      <c r="BR205" t="s">
        <v>97</v>
      </c>
      <c r="BS205" t="s">
        <v>3242</v>
      </c>
      <c r="BT205" t="str">
        <f>HYPERLINK("https%3A%2F%2Fwww.webofscience.com%2Fwos%2Fwoscc%2Ffull-record%2FWOS:000185999300008","View Full Record in Web of Science")</f>
        <v>View Full Record in Web of Science</v>
      </c>
    </row>
    <row r="206" spans="1:72" x14ac:dyDescent="0.15">
      <c r="A206" t="s">
        <v>72</v>
      </c>
      <c r="B206" t="s">
        <v>3243</v>
      </c>
      <c r="C206" t="s">
        <v>74</v>
      </c>
      <c r="D206" t="s">
        <v>74</v>
      </c>
      <c r="E206" t="s">
        <v>74</v>
      </c>
      <c r="F206" t="s">
        <v>3243</v>
      </c>
      <c r="G206" t="s">
        <v>74</v>
      </c>
      <c r="H206" t="s">
        <v>74</v>
      </c>
      <c r="I206" t="s">
        <v>3244</v>
      </c>
      <c r="J206" t="s">
        <v>3151</v>
      </c>
      <c r="K206" t="s">
        <v>74</v>
      </c>
      <c r="L206" t="s">
        <v>74</v>
      </c>
      <c r="M206" t="s">
        <v>77</v>
      </c>
      <c r="N206" t="s">
        <v>78</v>
      </c>
      <c r="O206" t="s">
        <v>74</v>
      </c>
      <c r="P206" t="s">
        <v>74</v>
      </c>
      <c r="Q206" t="s">
        <v>74</v>
      </c>
      <c r="R206" t="s">
        <v>74</v>
      </c>
      <c r="S206" t="s">
        <v>74</v>
      </c>
      <c r="T206" t="s">
        <v>74</v>
      </c>
      <c r="U206" t="s">
        <v>3245</v>
      </c>
      <c r="V206" t="s">
        <v>3246</v>
      </c>
      <c r="W206" t="s">
        <v>3247</v>
      </c>
      <c r="X206" t="s">
        <v>3248</v>
      </c>
      <c r="Y206" t="s">
        <v>3249</v>
      </c>
      <c r="Z206" t="s">
        <v>3250</v>
      </c>
      <c r="AA206" t="s">
        <v>74</v>
      </c>
      <c r="AB206" t="s">
        <v>74</v>
      </c>
      <c r="AC206" t="s">
        <v>74</v>
      </c>
      <c r="AD206" t="s">
        <v>74</v>
      </c>
      <c r="AE206" t="s">
        <v>74</v>
      </c>
      <c r="AF206" t="s">
        <v>74</v>
      </c>
      <c r="AG206">
        <v>49</v>
      </c>
      <c r="AH206">
        <v>21</v>
      </c>
      <c r="AI206">
        <v>25</v>
      </c>
      <c r="AJ206">
        <v>0</v>
      </c>
      <c r="AK206">
        <v>14</v>
      </c>
      <c r="AL206" t="s">
        <v>3185</v>
      </c>
      <c r="AM206" t="s">
        <v>1748</v>
      </c>
      <c r="AN206" t="s">
        <v>3186</v>
      </c>
      <c r="AO206" t="s">
        <v>3160</v>
      </c>
      <c r="AP206" t="s">
        <v>3161</v>
      </c>
      <c r="AQ206" t="s">
        <v>74</v>
      </c>
      <c r="AR206" t="s">
        <v>3162</v>
      </c>
      <c r="AS206" t="s">
        <v>3163</v>
      </c>
      <c r="AT206" t="s">
        <v>3121</v>
      </c>
      <c r="AU206">
        <v>2003</v>
      </c>
      <c r="AV206">
        <v>35</v>
      </c>
      <c r="AW206">
        <v>3</v>
      </c>
      <c r="AX206" t="s">
        <v>74</v>
      </c>
      <c r="AY206" t="s">
        <v>74</v>
      </c>
      <c r="AZ206" t="s">
        <v>74</v>
      </c>
      <c r="BA206" t="s">
        <v>74</v>
      </c>
      <c r="BB206">
        <v>349</v>
      </c>
      <c r="BC206">
        <v>360</v>
      </c>
      <c r="BD206" t="s">
        <v>74</v>
      </c>
      <c r="BE206" t="s">
        <v>3251</v>
      </c>
      <c r="BF206" t="str">
        <f>HYPERLINK("http://dx.doi.org/10.1657/1523-0430(2003)035[0349:ROPBFA]2.0.CO;2","http://dx.doi.org/10.1657/1523-0430(2003)035[0349:ROPBFA]2.0.CO;2")</f>
        <v>http://dx.doi.org/10.1657/1523-0430(2003)035[0349:ROPBFA]2.0.CO;2</v>
      </c>
      <c r="BG206" t="s">
        <v>74</v>
      </c>
      <c r="BH206" t="s">
        <v>74</v>
      </c>
      <c r="BI206">
        <v>12</v>
      </c>
      <c r="BJ206" t="s">
        <v>3165</v>
      </c>
      <c r="BK206" t="s">
        <v>94</v>
      </c>
      <c r="BL206" t="s">
        <v>3166</v>
      </c>
      <c r="BM206" t="s">
        <v>3167</v>
      </c>
      <c r="BN206" t="s">
        <v>74</v>
      </c>
      <c r="BO206" t="s">
        <v>551</v>
      </c>
      <c r="BP206" t="s">
        <v>74</v>
      </c>
      <c r="BQ206" t="s">
        <v>74</v>
      </c>
      <c r="BR206" t="s">
        <v>97</v>
      </c>
      <c r="BS206" t="s">
        <v>3252</v>
      </c>
      <c r="BT206" t="str">
        <f>HYPERLINK("https%3A%2F%2Fwww.webofscience.com%2Fwos%2Fwoscc%2Ffull-record%2FWOS:000185999300009","View Full Record in Web of Science")</f>
        <v>View Full Record in Web of Science</v>
      </c>
    </row>
    <row r="207" spans="1:72" x14ac:dyDescent="0.15">
      <c r="A207" t="s">
        <v>72</v>
      </c>
      <c r="B207" t="s">
        <v>3253</v>
      </c>
      <c r="C207" t="s">
        <v>74</v>
      </c>
      <c r="D207" t="s">
        <v>74</v>
      </c>
      <c r="E207" t="s">
        <v>74</v>
      </c>
      <c r="F207" t="s">
        <v>3253</v>
      </c>
      <c r="G207" t="s">
        <v>74</v>
      </c>
      <c r="H207" t="s">
        <v>74</v>
      </c>
      <c r="I207" t="s">
        <v>3254</v>
      </c>
      <c r="J207" t="s">
        <v>3151</v>
      </c>
      <c r="K207" t="s">
        <v>74</v>
      </c>
      <c r="L207" t="s">
        <v>74</v>
      </c>
      <c r="M207" t="s">
        <v>77</v>
      </c>
      <c r="N207" t="s">
        <v>78</v>
      </c>
      <c r="O207" t="s">
        <v>74</v>
      </c>
      <c r="P207" t="s">
        <v>74</v>
      </c>
      <c r="Q207" t="s">
        <v>74</v>
      </c>
      <c r="R207" t="s">
        <v>74</v>
      </c>
      <c r="S207" t="s">
        <v>74</v>
      </c>
      <c r="T207" t="s">
        <v>74</v>
      </c>
      <c r="U207" t="s">
        <v>3255</v>
      </c>
      <c r="V207" t="s">
        <v>3256</v>
      </c>
      <c r="W207" t="s">
        <v>3257</v>
      </c>
      <c r="X207" t="s">
        <v>3258</v>
      </c>
      <c r="Y207" t="s">
        <v>3259</v>
      </c>
      <c r="Z207" t="s">
        <v>74</v>
      </c>
      <c r="AA207" t="s">
        <v>3260</v>
      </c>
      <c r="AB207" t="s">
        <v>3261</v>
      </c>
      <c r="AC207" t="s">
        <v>74</v>
      </c>
      <c r="AD207" t="s">
        <v>74</v>
      </c>
      <c r="AE207" t="s">
        <v>74</v>
      </c>
      <c r="AF207" t="s">
        <v>74</v>
      </c>
      <c r="AG207">
        <v>23</v>
      </c>
      <c r="AH207">
        <v>121</v>
      </c>
      <c r="AI207">
        <v>132</v>
      </c>
      <c r="AJ207">
        <v>3</v>
      </c>
      <c r="AK207">
        <v>75</v>
      </c>
      <c r="AL207" t="s">
        <v>3185</v>
      </c>
      <c r="AM207" t="s">
        <v>1748</v>
      </c>
      <c r="AN207" t="s">
        <v>3186</v>
      </c>
      <c r="AO207" t="s">
        <v>3160</v>
      </c>
      <c r="AP207" t="s">
        <v>74</v>
      </c>
      <c r="AQ207" t="s">
        <v>74</v>
      </c>
      <c r="AR207" t="s">
        <v>3162</v>
      </c>
      <c r="AS207" t="s">
        <v>3163</v>
      </c>
      <c r="AT207" t="s">
        <v>3121</v>
      </c>
      <c r="AU207">
        <v>2003</v>
      </c>
      <c r="AV207">
        <v>35</v>
      </c>
      <c r="AW207">
        <v>3</v>
      </c>
      <c r="AX207" t="s">
        <v>74</v>
      </c>
      <c r="AY207" t="s">
        <v>74</v>
      </c>
      <c r="AZ207" t="s">
        <v>74</v>
      </c>
      <c r="BA207" t="s">
        <v>74</v>
      </c>
      <c r="BB207">
        <v>361</v>
      </c>
      <c r="BC207">
        <v>368</v>
      </c>
      <c r="BD207" t="s">
        <v>74</v>
      </c>
      <c r="BE207" t="s">
        <v>3262</v>
      </c>
      <c r="BF207" t="str">
        <f>HYPERLINK("http://dx.doi.org/10.1657/1523-0430(2003)035[0361:TROPIA]2.0.CO;2","http://dx.doi.org/10.1657/1523-0430(2003)035[0361:TROPIA]2.0.CO;2")</f>
        <v>http://dx.doi.org/10.1657/1523-0430(2003)035[0361:TROPIA]2.0.CO;2</v>
      </c>
      <c r="BG207" t="s">
        <v>74</v>
      </c>
      <c r="BH207" t="s">
        <v>74</v>
      </c>
      <c r="BI207">
        <v>8</v>
      </c>
      <c r="BJ207" t="s">
        <v>3165</v>
      </c>
      <c r="BK207" t="s">
        <v>94</v>
      </c>
      <c r="BL207" t="s">
        <v>3166</v>
      </c>
      <c r="BM207" t="s">
        <v>3167</v>
      </c>
      <c r="BN207" t="s">
        <v>74</v>
      </c>
      <c r="BO207" t="s">
        <v>3263</v>
      </c>
      <c r="BP207" t="s">
        <v>74</v>
      </c>
      <c r="BQ207" t="s">
        <v>74</v>
      </c>
      <c r="BR207" t="s">
        <v>97</v>
      </c>
      <c r="BS207" t="s">
        <v>3264</v>
      </c>
      <c r="BT207" t="str">
        <f>HYPERLINK("https%3A%2F%2Fwww.webofscience.com%2Fwos%2Fwoscc%2Ffull-record%2FWOS:000185999300010","View Full Record in Web of Science")</f>
        <v>View Full Record in Web of Science</v>
      </c>
    </row>
    <row r="208" spans="1:72" x14ac:dyDescent="0.15">
      <c r="A208" t="s">
        <v>72</v>
      </c>
      <c r="B208" t="s">
        <v>3265</v>
      </c>
      <c r="C208" t="s">
        <v>74</v>
      </c>
      <c r="D208" t="s">
        <v>74</v>
      </c>
      <c r="E208" t="s">
        <v>74</v>
      </c>
      <c r="F208" t="s">
        <v>3265</v>
      </c>
      <c r="G208" t="s">
        <v>74</v>
      </c>
      <c r="H208" t="s">
        <v>74</v>
      </c>
      <c r="I208" t="s">
        <v>3266</v>
      </c>
      <c r="J208" t="s">
        <v>3151</v>
      </c>
      <c r="K208" t="s">
        <v>74</v>
      </c>
      <c r="L208" t="s">
        <v>74</v>
      </c>
      <c r="M208" t="s">
        <v>77</v>
      </c>
      <c r="N208" t="s">
        <v>78</v>
      </c>
      <c r="O208" t="s">
        <v>74</v>
      </c>
      <c r="P208" t="s">
        <v>74</v>
      </c>
      <c r="Q208" t="s">
        <v>74</v>
      </c>
      <c r="R208" t="s">
        <v>74</v>
      </c>
      <c r="S208" t="s">
        <v>74</v>
      </c>
      <c r="T208" t="s">
        <v>74</v>
      </c>
      <c r="U208" t="s">
        <v>3267</v>
      </c>
      <c r="V208" t="s">
        <v>3268</v>
      </c>
      <c r="W208" t="s">
        <v>3269</v>
      </c>
      <c r="X208" t="s">
        <v>3270</v>
      </c>
      <c r="Y208" t="s">
        <v>3271</v>
      </c>
      <c r="Z208" t="s">
        <v>74</v>
      </c>
      <c r="AA208" t="s">
        <v>3272</v>
      </c>
      <c r="AB208" t="s">
        <v>3273</v>
      </c>
      <c r="AC208" t="s">
        <v>74</v>
      </c>
      <c r="AD208" t="s">
        <v>74</v>
      </c>
      <c r="AE208" t="s">
        <v>74</v>
      </c>
      <c r="AF208" t="s">
        <v>74</v>
      </c>
      <c r="AG208">
        <v>37</v>
      </c>
      <c r="AH208">
        <v>26</v>
      </c>
      <c r="AI208">
        <v>28</v>
      </c>
      <c r="AJ208">
        <v>0</v>
      </c>
      <c r="AK208">
        <v>20</v>
      </c>
      <c r="AL208" t="s">
        <v>3185</v>
      </c>
      <c r="AM208" t="s">
        <v>1748</v>
      </c>
      <c r="AN208" t="s">
        <v>3186</v>
      </c>
      <c r="AO208" t="s">
        <v>3160</v>
      </c>
      <c r="AP208" t="s">
        <v>74</v>
      </c>
      <c r="AQ208" t="s">
        <v>74</v>
      </c>
      <c r="AR208" t="s">
        <v>3162</v>
      </c>
      <c r="AS208" t="s">
        <v>3163</v>
      </c>
      <c r="AT208" t="s">
        <v>3121</v>
      </c>
      <c r="AU208">
        <v>2003</v>
      </c>
      <c r="AV208">
        <v>35</v>
      </c>
      <c r="AW208">
        <v>3</v>
      </c>
      <c r="AX208" t="s">
        <v>74</v>
      </c>
      <c r="AY208" t="s">
        <v>74</v>
      </c>
      <c r="AZ208" t="s">
        <v>74</v>
      </c>
      <c r="BA208" t="s">
        <v>74</v>
      </c>
      <c r="BB208">
        <v>369</v>
      </c>
      <c r="BC208">
        <v>376</v>
      </c>
      <c r="BD208" t="s">
        <v>74</v>
      </c>
      <c r="BE208" t="s">
        <v>3274</v>
      </c>
      <c r="BF208" t="str">
        <f>HYPERLINK("http://dx.doi.org/10.1657/1523-0430(2003)035[0369:FHODOB]2.0.CO;2","http://dx.doi.org/10.1657/1523-0430(2003)035[0369:FHODOB]2.0.CO;2")</f>
        <v>http://dx.doi.org/10.1657/1523-0430(2003)035[0369:FHODOB]2.0.CO;2</v>
      </c>
      <c r="BG208" t="s">
        <v>74</v>
      </c>
      <c r="BH208" t="s">
        <v>74</v>
      </c>
      <c r="BI208">
        <v>8</v>
      </c>
      <c r="BJ208" t="s">
        <v>3165</v>
      </c>
      <c r="BK208" t="s">
        <v>94</v>
      </c>
      <c r="BL208" t="s">
        <v>3166</v>
      </c>
      <c r="BM208" t="s">
        <v>3167</v>
      </c>
      <c r="BN208" t="s">
        <v>74</v>
      </c>
      <c r="BO208" t="s">
        <v>2139</v>
      </c>
      <c r="BP208" t="s">
        <v>74</v>
      </c>
      <c r="BQ208" t="s">
        <v>74</v>
      </c>
      <c r="BR208" t="s">
        <v>97</v>
      </c>
      <c r="BS208" t="s">
        <v>3275</v>
      </c>
      <c r="BT208" t="str">
        <f>HYPERLINK("https%3A%2F%2Fwww.webofscience.com%2Fwos%2Fwoscc%2Ffull-record%2FWOS:000185999300011","View Full Record in Web of Science")</f>
        <v>View Full Record in Web of Science</v>
      </c>
    </row>
    <row r="209" spans="1:72" x14ac:dyDescent="0.15">
      <c r="A209" t="s">
        <v>72</v>
      </c>
      <c r="B209" t="s">
        <v>3276</v>
      </c>
      <c r="C209" t="s">
        <v>74</v>
      </c>
      <c r="D209" t="s">
        <v>74</v>
      </c>
      <c r="E209" t="s">
        <v>74</v>
      </c>
      <c r="F209" t="s">
        <v>3276</v>
      </c>
      <c r="G209" t="s">
        <v>74</v>
      </c>
      <c r="H209" t="s">
        <v>74</v>
      </c>
      <c r="I209" t="s">
        <v>3277</v>
      </c>
      <c r="J209" t="s">
        <v>3151</v>
      </c>
      <c r="K209" t="s">
        <v>74</v>
      </c>
      <c r="L209" t="s">
        <v>74</v>
      </c>
      <c r="M209" t="s">
        <v>77</v>
      </c>
      <c r="N209" t="s">
        <v>78</v>
      </c>
      <c r="O209" t="s">
        <v>74</v>
      </c>
      <c r="P209" t="s">
        <v>74</v>
      </c>
      <c r="Q209" t="s">
        <v>74</v>
      </c>
      <c r="R209" t="s">
        <v>74</v>
      </c>
      <c r="S209" t="s">
        <v>74</v>
      </c>
      <c r="T209" t="s">
        <v>74</v>
      </c>
      <c r="U209" t="s">
        <v>3278</v>
      </c>
      <c r="V209" t="s">
        <v>3279</v>
      </c>
      <c r="W209" t="s">
        <v>3280</v>
      </c>
      <c r="X209" t="s">
        <v>3281</v>
      </c>
      <c r="Y209" t="s">
        <v>3282</v>
      </c>
      <c r="Z209" t="s">
        <v>74</v>
      </c>
      <c r="AA209" t="s">
        <v>3283</v>
      </c>
      <c r="AB209" t="s">
        <v>3284</v>
      </c>
      <c r="AC209" t="s">
        <v>74</v>
      </c>
      <c r="AD209" t="s">
        <v>74</v>
      </c>
      <c r="AE209" t="s">
        <v>74</v>
      </c>
      <c r="AF209" t="s">
        <v>74</v>
      </c>
      <c r="AG209">
        <v>32</v>
      </c>
      <c r="AH209">
        <v>9</v>
      </c>
      <c r="AI209">
        <v>10</v>
      </c>
      <c r="AJ209">
        <v>0</v>
      </c>
      <c r="AK209">
        <v>15</v>
      </c>
      <c r="AL209" t="s">
        <v>3185</v>
      </c>
      <c r="AM209" t="s">
        <v>1748</v>
      </c>
      <c r="AN209" t="s">
        <v>3186</v>
      </c>
      <c r="AO209" t="s">
        <v>3160</v>
      </c>
      <c r="AP209" t="s">
        <v>74</v>
      </c>
      <c r="AQ209" t="s">
        <v>74</v>
      </c>
      <c r="AR209" t="s">
        <v>3162</v>
      </c>
      <c r="AS209" t="s">
        <v>3163</v>
      </c>
      <c r="AT209" t="s">
        <v>3121</v>
      </c>
      <c r="AU209">
        <v>2003</v>
      </c>
      <c r="AV209">
        <v>35</v>
      </c>
      <c r="AW209">
        <v>3</v>
      </c>
      <c r="AX209" t="s">
        <v>74</v>
      </c>
      <c r="AY209" t="s">
        <v>74</v>
      </c>
      <c r="AZ209" t="s">
        <v>74</v>
      </c>
      <c r="BA209" t="s">
        <v>74</v>
      </c>
      <c r="BB209">
        <v>377</v>
      </c>
      <c r="BC209">
        <v>383</v>
      </c>
      <c r="BD209" t="s">
        <v>74</v>
      </c>
      <c r="BE209" t="s">
        <v>3285</v>
      </c>
      <c r="BF209" t="str">
        <f>HYPERLINK("http://dx.doi.org/10.1657/1523-0430(2003)035[0377:CIDIDG]2.0.CO;2","http://dx.doi.org/10.1657/1523-0430(2003)035[0377:CIDIDG]2.0.CO;2")</f>
        <v>http://dx.doi.org/10.1657/1523-0430(2003)035[0377:CIDIDG]2.0.CO;2</v>
      </c>
      <c r="BG209" t="s">
        <v>74</v>
      </c>
      <c r="BH209" t="s">
        <v>74</v>
      </c>
      <c r="BI209">
        <v>7</v>
      </c>
      <c r="BJ209" t="s">
        <v>3165</v>
      </c>
      <c r="BK209" t="s">
        <v>94</v>
      </c>
      <c r="BL209" t="s">
        <v>3166</v>
      </c>
      <c r="BM209" t="s">
        <v>3167</v>
      </c>
      <c r="BN209" t="s">
        <v>74</v>
      </c>
      <c r="BO209" t="s">
        <v>1767</v>
      </c>
      <c r="BP209" t="s">
        <v>74</v>
      </c>
      <c r="BQ209" t="s">
        <v>74</v>
      </c>
      <c r="BR209" t="s">
        <v>97</v>
      </c>
      <c r="BS209" t="s">
        <v>3286</v>
      </c>
      <c r="BT209" t="str">
        <f>HYPERLINK("https%3A%2F%2Fwww.webofscience.com%2Fwos%2Fwoscc%2Ffull-record%2FWOS:000185999300012","View Full Record in Web of Science")</f>
        <v>View Full Record in Web of Science</v>
      </c>
    </row>
    <row r="210" spans="1:72" x14ac:dyDescent="0.15">
      <c r="A210" t="s">
        <v>72</v>
      </c>
      <c r="B210" t="s">
        <v>3287</v>
      </c>
      <c r="C210" t="s">
        <v>74</v>
      </c>
      <c r="D210" t="s">
        <v>74</v>
      </c>
      <c r="E210" t="s">
        <v>74</v>
      </c>
      <c r="F210" t="s">
        <v>3287</v>
      </c>
      <c r="G210" t="s">
        <v>74</v>
      </c>
      <c r="H210" t="s">
        <v>74</v>
      </c>
      <c r="I210" t="s">
        <v>3288</v>
      </c>
      <c r="J210" t="s">
        <v>3151</v>
      </c>
      <c r="K210" t="s">
        <v>74</v>
      </c>
      <c r="L210" t="s">
        <v>74</v>
      </c>
      <c r="M210" t="s">
        <v>77</v>
      </c>
      <c r="N210" t="s">
        <v>78</v>
      </c>
      <c r="O210" t="s">
        <v>74</v>
      </c>
      <c r="P210" t="s">
        <v>74</v>
      </c>
      <c r="Q210" t="s">
        <v>74</v>
      </c>
      <c r="R210" t="s">
        <v>74</v>
      </c>
      <c r="S210" t="s">
        <v>74</v>
      </c>
      <c r="T210" t="s">
        <v>74</v>
      </c>
      <c r="U210" t="s">
        <v>3289</v>
      </c>
      <c r="V210" t="s">
        <v>3290</v>
      </c>
      <c r="W210" t="s">
        <v>3291</v>
      </c>
      <c r="X210" t="s">
        <v>3292</v>
      </c>
      <c r="Y210" t="s">
        <v>3293</v>
      </c>
      <c r="Z210" t="s">
        <v>74</v>
      </c>
      <c r="AA210" t="s">
        <v>3294</v>
      </c>
      <c r="AB210" t="s">
        <v>3295</v>
      </c>
      <c r="AC210" t="s">
        <v>74</v>
      </c>
      <c r="AD210" t="s">
        <v>74</v>
      </c>
      <c r="AE210" t="s">
        <v>74</v>
      </c>
      <c r="AF210" t="s">
        <v>74</v>
      </c>
      <c r="AG210">
        <v>32</v>
      </c>
      <c r="AH210">
        <v>46</v>
      </c>
      <c r="AI210">
        <v>50</v>
      </c>
      <c r="AJ210">
        <v>0</v>
      </c>
      <c r="AK210">
        <v>24</v>
      </c>
      <c r="AL210" t="s">
        <v>3185</v>
      </c>
      <c r="AM210" t="s">
        <v>1748</v>
      </c>
      <c r="AN210" t="s">
        <v>3186</v>
      </c>
      <c r="AO210" t="s">
        <v>3160</v>
      </c>
      <c r="AP210" t="s">
        <v>74</v>
      </c>
      <c r="AQ210" t="s">
        <v>74</v>
      </c>
      <c r="AR210" t="s">
        <v>3162</v>
      </c>
      <c r="AS210" t="s">
        <v>3163</v>
      </c>
      <c r="AT210" t="s">
        <v>3121</v>
      </c>
      <c r="AU210">
        <v>2003</v>
      </c>
      <c r="AV210">
        <v>35</v>
      </c>
      <c r="AW210">
        <v>3</v>
      </c>
      <c r="AX210" t="s">
        <v>74</v>
      </c>
      <c r="AY210" t="s">
        <v>74</v>
      </c>
      <c r="AZ210" t="s">
        <v>74</v>
      </c>
      <c r="BA210" t="s">
        <v>74</v>
      </c>
      <c r="BB210">
        <v>384</v>
      </c>
      <c r="BC210">
        <v>390</v>
      </c>
      <c r="BD210" t="s">
        <v>74</v>
      </c>
      <c r="BE210" t="s">
        <v>3296</v>
      </c>
      <c r="BF210" t="str">
        <f>HYPERLINK("http://dx.doi.org/10.1657/1523-0430(2003)035[0384:VAAEIO]2.0.CO;2","http://dx.doi.org/10.1657/1523-0430(2003)035[0384:VAAEIO]2.0.CO;2")</f>
        <v>http://dx.doi.org/10.1657/1523-0430(2003)035[0384:VAAEIO]2.0.CO;2</v>
      </c>
      <c r="BG210" t="s">
        <v>74</v>
      </c>
      <c r="BH210" t="s">
        <v>74</v>
      </c>
      <c r="BI210">
        <v>7</v>
      </c>
      <c r="BJ210" t="s">
        <v>3165</v>
      </c>
      <c r="BK210" t="s">
        <v>94</v>
      </c>
      <c r="BL210" t="s">
        <v>3166</v>
      </c>
      <c r="BM210" t="s">
        <v>3167</v>
      </c>
      <c r="BN210" t="s">
        <v>74</v>
      </c>
      <c r="BO210" t="s">
        <v>1767</v>
      </c>
      <c r="BP210" t="s">
        <v>74</v>
      </c>
      <c r="BQ210" t="s">
        <v>74</v>
      </c>
      <c r="BR210" t="s">
        <v>97</v>
      </c>
      <c r="BS210" t="s">
        <v>3297</v>
      </c>
      <c r="BT210" t="str">
        <f>HYPERLINK("https%3A%2F%2Fwww.webofscience.com%2Fwos%2Fwoscc%2Ffull-record%2FWOS:000185999300013","View Full Record in Web of Science")</f>
        <v>View Full Record in Web of Science</v>
      </c>
    </row>
    <row r="211" spans="1:72" x14ac:dyDescent="0.15">
      <c r="A211" t="s">
        <v>72</v>
      </c>
      <c r="B211" t="s">
        <v>3298</v>
      </c>
      <c r="C211" t="s">
        <v>74</v>
      </c>
      <c r="D211" t="s">
        <v>74</v>
      </c>
      <c r="E211" t="s">
        <v>74</v>
      </c>
      <c r="F211" t="s">
        <v>3298</v>
      </c>
      <c r="G211" t="s">
        <v>74</v>
      </c>
      <c r="H211" t="s">
        <v>74</v>
      </c>
      <c r="I211" t="s">
        <v>3299</v>
      </c>
      <c r="J211" t="s">
        <v>3151</v>
      </c>
      <c r="K211" t="s">
        <v>74</v>
      </c>
      <c r="L211" t="s">
        <v>74</v>
      </c>
      <c r="M211" t="s">
        <v>77</v>
      </c>
      <c r="N211" t="s">
        <v>78</v>
      </c>
      <c r="O211" t="s">
        <v>74</v>
      </c>
      <c r="P211" t="s">
        <v>74</v>
      </c>
      <c r="Q211" t="s">
        <v>74</v>
      </c>
      <c r="R211" t="s">
        <v>74</v>
      </c>
      <c r="S211" t="s">
        <v>74</v>
      </c>
      <c r="T211" t="s">
        <v>74</v>
      </c>
      <c r="U211" t="s">
        <v>3300</v>
      </c>
      <c r="V211" t="s">
        <v>3301</v>
      </c>
      <c r="W211" t="s">
        <v>3302</v>
      </c>
      <c r="X211" t="s">
        <v>3303</v>
      </c>
      <c r="Y211" t="s">
        <v>3304</v>
      </c>
      <c r="Z211" t="s">
        <v>3305</v>
      </c>
      <c r="AA211" t="s">
        <v>74</v>
      </c>
      <c r="AB211" t="s">
        <v>74</v>
      </c>
      <c r="AC211" t="s">
        <v>74</v>
      </c>
      <c r="AD211" t="s">
        <v>74</v>
      </c>
      <c r="AE211" t="s">
        <v>74</v>
      </c>
      <c r="AF211" t="s">
        <v>74</v>
      </c>
      <c r="AG211">
        <v>30</v>
      </c>
      <c r="AH211">
        <v>9</v>
      </c>
      <c r="AI211">
        <v>11</v>
      </c>
      <c r="AJ211">
        <v>0</v>
      </c>
      <c r="AK211">
        <v>13</v>
      </c>
      <c r="AL211" t="s">
        <v>3185</v>
      </c>
      <c r="AM211" t="s">
        <v>1748</v>
      </c>
      <c r="AN211" t="s">
        <v>3186</v>
      </c>
      <c r="AO211" t="s">
        <v>3160</v>
      </c>
      <c r="AP211" t="s">
        <v>3161</v>
      </c>
      <c r="AQ211" t="s">
        <v>74</v>
      </c>
      <c r="AR211" t="s">
        <v>3162</v>
      </c>
      <c r="AS211" t="s">
        <v>3163</v>
      </c>
      <c r="AT211" t="s">
        <v>3121</v>
      </c>
      <c r="AU211">
        <v>2003</v>
      </c>
      <c r="AV211">
        <v>35</v>
      </c>
      <c r="AW211">
        <v>3</v>
      </c>
      <c r="AX211" t="s">
        <v>74</v>
      </c>
      <c r="AY211" t="s">
        <v>74</v>
      </c>
      <c r="AZ211" t="s">
        <v>74</v>
      </c>
      <c r="BA211" t="s">
        <v>74</v>
      </c>
      <c r="BB211">
        <v>391</v>
      </c>
      <c r="BC211">
        <v>398</v>
      </c>
      <c r="BD211" t="s">
        <v>74</v>
      </c>
      <c r="BE211" t="s">
        <v>3306</v>
      </c>
      <c r="BF211" t="str">
        <f>HYPERLINK("http://dx.doi.org/10.1657/1523-0430(2003)035[0391:LQGAEH]2.0.CO;2","http://dx.doi.org/10.1657/1523-0430(2003)035[0391:LQGAEH]2.0.CO;2")</f>
        <v>http://dx.doi.org/10.1657/1523-0430(2003)035[0391:LQGAEH]2.0.CO;2</v>
      </c>
      <c r="BG211" t="s">
        <v>74</v>
      </c>
      <c r="BH211" t="s">
        <v>74</v>
      </c>
      <c r="BI211">
        <v>8</v>
      </c>
      <c r="BJ211" t="s">
        <v>3165</v>
      </c>
      <c r="BK211" t="s">
        <v>94</v>
      </c>
      <c r="BL211" t="s">
        <v>3166</v>
      </c>
      <c r="BM211" t="s">
        <v>3167</v>
      </c>
      <c r="BN211" t="s">
        <v>74</v>
      </c>
      <c r="BO211" t="s">
        <v>1767</v>
      </c>
      <c r="BP211" t="s">
        <v>74</v>
      </c>
      <c r="BQ211" t="s">
        <v>74</v>
      </c>
      <c r="BR211" t="s">
        <v>97</v>
      </c>
      <c r="BS211" t="s">
        <v>3307</v>
      </c>
      <c r="BT211" t="str">
        <f>HYPERLINK("https%3A%2F%2Fwww.webofscience.com%2Fwos%2Fwoscc%2Ffull-record%2FWOS:000185999300014","View Full Record in Web of Science")</f>
        <v>View Full Record in Web of Science</v>
      </c>
    </row>
    <row r="212" spans="1:72" x14ac:dyDescent="0.15">
      <c r="A212" t="s">
        <v>72</v>
      </c>
      <c r="B212" t="s">
        <v>3308</v>
      </c>
      <c r="C212" t="s">
        <v>74</v>
      </c>
      <c r="D212" t="s">
        <v>74</v>
      </c>
      <c r="E212" t="s">
        <v>74</v>
      </c>
      <c r="F212" t="s">
        <v>3308</v>
      </c>
      <c r="G212" t="s">
        <v>74</v>
      </c>
      <c r="H212" t="s">
        <v>74</v>
      </c>
      <c r="I212" t="s">
        <v>3309</v>
      </c>
      <c r="J212" t="s">
        <v>3151</v>
      </c>
      <c r="K212" t="s">
        <v>74</v>
      </c>
      <c r="L212" t="s">
        <v>74</v>
      </c>
      <c r="M212" t="s">
        <v>77</v>
      </c>
      <c r="N212" t="s">
        <v>78</v>
      </c>
      <c r="O212" t="s">
        <v>74</v>
      </c>
      <c r="P212" t="s">
        <v>74</v>
      </c>
      <c r="Q212" t="s">
        <v>74</v>
      </c>
      <c r="R212" t="s">
        <v>74</v>
      </c>
      <c r="S212" t="s">
        <v>74</v>
      </c>
      <c r="T212" t="s">
        <v>74</v>
      </c>
      <c r="U212" t="s">
        <v>3310</v>
      </c>
      <c r="V212" t="s">
        <v>3311</v>
      </c>
      <c r="W212" t="s">
        <v>3312</v>
      </c>
      <c r="X212" t="s">
        <v>3313</v>
      </c>
      <c r="Y212" t="s">
        <v>3314</v>
      </c>
      <c r="Z212" t="s">
        <v>3315</v>
      </c>
      <c r="AA212" t="s">
        <v>3316</v>
      </c>
      <c r="AB212" t="s">
        <v>3317</v>
      </c>
      <c r="AC212" t="s">
        <v>74</v>
      </c>
      <c r="AD212" t="s">
        <v>74</v>
      </c>
      <c r="AE212" t="s">
        <v>74</v>
      </c>
      <c r="AF212" t="s">
        <v>74</v>
      </c>
      <c r="AG212">
        <v>48</v>
      </c>
      <c r="AH212">
        <v>6</v>
      </c>
      <c r="AI212">
        <v>7</v>
      </c>
      <c r="AJ212">
        <v>0</v>
      </c>
      <c r="AK212">
        <v>6</v>
      </c>
      <c r="AL212" t="s">
        <v>3185</v>
      </c>
      <c r="AM212" t="s">
        <v>1748</v>
      </c>
      <c r="AN212" t="s">
        <v>3186</v>
      </c>
      <c r="AO212" t="s">
        <v>3160</v>
      </c>
      <c r="AP212" t="s">
        <v>74</v>
      </c>
      <c r="AQ212" t="s">
        <v>74</v>
      </c>
      <c r="AR212" t="s">
        <v>3162</v>
      </c>
      <c r="AS212" t="s">
        <v>3163</v>
      </c>
      <c r="AT212" t="s">
        <v>3121</v>
      </c>
      <c r="AU212">
        <v>2003</v>
      </c>
      <c r="AV212">
        <v>35</v>
      </c>
      <c r="AW212">
        <v>3</v>
      </c>
      <c r="AX212" t="s">
        <v>74</v>
      </c>
      <c r="AY212" t="s">
        <v>74</v>
      </c>
      <c r="AZ212" t="s">
        <v>74</v>
      </c>
      <c r="BA212" t="s">
        <v>74</v>
      </c>
      <c r="BB212">
        <v>399</v>
      </c>
      <c r="BC212">
        <v>408</v>
      </c>
      <c r="BD212" t="s">
        <v>74</v>
      </c>
      <c r="BE212" t="s">
        <v>3318</v>
      </c>
      <c r="BF212" t="str">
        <f>HYPERLINK("http://dx.doi.org/10.1657/1523-0430(2003)035[0399:ICOTSO]2.0.CO;2","http://dx.doi.org/10.1657/1523-0430(2003)035[0399:ICOTSO]2.0.CO;2")</f>
        <v>http://dx.doi.org/10.1657/1523-0430(2003)035[0399:ICOTSO]2.0.CO;2</v>
      </c>
      <c r="BG212" t="s">
        <v>74</v>
      </c>
      <c r="BH212" t="s">
        <v>74</v>
      </c>
      <c r="BI212">
        <v>10</v>
      </c>
      <c r="BJ212" t="s">
        <v>3165</v>
      </c>
      <c r="BK212" t="s">
        <v>94</v>
      </c>
      <c r="BL212" t="s">
        <v>3166</v>
      </c>
      <c r="BM212" t="s">
        <v>3167</v>
      </c>
      <c r="BN212" t="s">
        <v>74</v>
      </c>
      <c r="BO212" t="s">
        <v>1767</v>
      </c>
      <c r="BP212" t="s">
        <v>74</v>
      </c>
      <c r="BQ212" t="s">
        <v>74</v>
      </c>
      <c r="BR212" t="s">
        <v>97</v>
      </c>
      <c r="BS212" t="s">
        <v>3319</v>
      </c>
      <c r="BT212" t="str">
        <f>HYPERLINK("https%3A%2F%2Fwww.webofscience.com%2Fwos%2Fwoscc%2Ffull-record%2FWOS:000185999300015","View Full Record in Web of Science")</f>
        <v>View Full Record in Web of Science</v>
      </c>
    </row>
    <row r="213" spans="1:72" x14ac:dyDescent="0.15">
      <c r="A213" t="s">
        <v>72</v>
      </c>
      <c r="B213" t="s">
        <v>3320</v>
      </c>
      <c r="C213" t="s">
        <v>74</v>
      </c>
      <c r="D213" t="s">
        <v>74</v>
      </c>
      <c r="E213" t="s">
        <v>74</v>
      </c>
      <c r="F213" t="s">
        <v>3320</v>
      </c>
      <c r="G213" t="s">
        <v>74</v>
      </c>
      <c r="H213" t="s">
        <v>74</v>
      </c>
      <c r="I213" t="s">
        <v>3321</v>
      </c>
      <c r="J213" t="s">
        <v>3322</v>
      </c>
      <c r="K213" t="s">
        <v>74</v>
      </c>
      <c r="L213" t="s">
        <v>74</v>
      </c>
      <c r="M213" t="s">
        <v>77</v>
      </c>
      <c r="N213" t="s">
        <v>78</v>
      </c>
      <c r="O213" t="s">
        <v>74</v>
      </c>
      <c r="P213" t="s">
        <v>74</v>
      </c>
      <c r="Q213" t="s">
        <v>74</v>
      </c>
      <c r="R213" t="s">
        <v>74</v>
      </c>
      <c r="S213" t="s">
        <v>74</v>
      </c>
      <c r="T213" t="s">
        <v>3323</v>
      </c>
      <c r="U213" t="s">
        <v>3324</v>
      </c>
      <c r="V213" t="s">
        <v>3325</v>
      </c>
      <c r="W213" t="s">
        <v>3326</v>
      </c>
      <c r="X213" t="s">
        <v>3327</v>
      </c>
      <c r="Y213" t="s">
        <v>3328</v>
      </c>
      <c r="Z213" t="s">
        <v>3329</v>
      </c>
      <c r="AA213" t="s">
        <v>74</v>
      </c>
      <c r="AB213" t="s">
        <v>3330</v>
      </c>
      <c r="AC213" t="s">
        <v>3331</v>
      </c>
      <c r="AD213" t="s">
        <v>3332</v>
      </c>
      <c r="AE213" t="s">
        <v>74</v>
      </c>
      <c r="AF213" t="s">
        <v>74</v>
      </c>
      <c r="AG213">
        <v>13</v>
      </c>
      <c r="AH213">
        <v>37</v>
      </c>
      <c r="AI213">
        <v>38</v>
      </c>
      <c r="AJ213">
        <v>1</v>
      </c>
      <c r="AK213">
        <v>10</v>
      </c>
      <c r="AL213" t="s">
        <v>3333</v>
      </c>
      <c r="AM213" t="s">
        <v>520</v>
      </c>
      <c r="AN213" t="s">
        <v>3334</v>
      </c>
      <c r="AO213" t="s">
        <v>3335</v>
      </c>
      <c r="AP213" t="s">
        <v>74</v>
      </c>
      <c r="AQ213" t="s">
        <v>74</v>
      </c>
      <c r="AR213" t="s">
        <v>3336</v>
      </c>
      <c r="AS213" t="s">
        <v>3337</v>
      </c>
      <c r="AT213" t="s">
        <v>3121</v>
      </c>
      <c r="AU213">
        <v>2003</v>
      </c>
      <c r="AV213">
        <v>51</v>
      </c>
      <c r="AW213">
        <v>8</v>
      </c>
      <c r="AX213" t="s">
        <v>74</v>
      </c>
      <c r="AY213" t="s">
        <v>74</v>
      </c>
      <c r="AZ213" t="s">
        <v>74</v>
      </c>
      <c r="BA213" t="s">
        <v>74</v>
      </c>
      <c r="BB213">
        <v>975</v>
      </c>
      <c r="BC213">
        <v>977</v>
      </c>
      <c r="BD213" t="s">
        <v>74</v>
      </c>
      <c r="BE213" t="s">
        <v>74</v>
      </c>
      <c r="BF213" t="s">
        <v>74</v>
      </c>
      <c r="BG213" t="s">
        <v>74</v>
      </c>
      <c r="BH213" t="s">
        <v>74</v>
      </c>
      <c r="BI213">
        <v>3</v>
      </c>
      <c r="BJ213" t="s">
        <v>3338</v>
      </c>
      <c r="BK213" t="s">
        <v>3339</v>
      </c>
      <c r="BL213" t="s">
        <v>3340</v>
      </c>
      <c r="BM213" t="s">
        <v>3341</v>
      </c>
      <c r="BN213">
        <v>12913239</v>
      </c>
      <c r="BO213" t="s">
        <v>74</v>
      </c>
      <c r="BP213" t="s">
        <v>74</v>
      </c>
      <c r="BQ213" t="s">
        <v>74</v>
      </c>
      <c r="BR213" t="s">
        <v>97</v>
      </c>
      <c r="BS213" t="s">
        <v>3342</v>
      </c>
      <c r="BT213" t="str">
        <f>HYPERLINK("https%3A%2F%2Fwww.webofscience.com%2Fwos%2Fwoscc%2Ffull-record%2FWOS:000184514200015","View Full Record in Web of Science")</f>
        <v>View Full Record in Web of Science</v>
      </c>
    </row>
    <row r="214" spans="1:72" x14ac:dyDescent="0.15">
      <c r="A214" t="s">
        <v>72</v>
      </c>
      <c r="B214" t="s">
        <v>3343</v>
      </c>
      <c r="C214" t="s">
        <v>74</v>
      </c>
      <c r="D214" t="s">
        <v>74</v>
      </c>
      <c r="E214" t="s">
        <v>74</v>
      </c>
      <c r="F214" t="s">
        <v>3343</v>
      </c>
      <c r="G214" t="s">
        <v>74</v>
      </c>
      <c r="H214" t="s">
        <v>74</v>
      </c>
      <c r="I214" t="s">
        <v>3344</v>
      </c>
      <c r="J214" t="s">
        <v>3345</v>
      </c>
      <c r="K214" t="s">
        <v>74</v>
      </c>
      <c r="L214" t="s">
        <v>74</v>
      </c>
      <c r="M214" t="s">
        <v>77</v>
      </c>
      <c r="N214" t="s">
        <v>78</v>
      </c>
      <c r="O214" t="s">
        <v>74</v>
      </c>
      <c r="P214" t="s">
        <v>74</v>
      </c>
      <c r="Q214" t="s">
        <v>74</v>
      </c>
      <c r="R214" t="s">
        <v>74</v>
      </c>
      <c r="S214" t="s">
        <v>74</v>
      </c>
      <c r="T214" t="s">
        <v>3346</v>
      </c>
      <c r="U214" t="s">
        <v>3347</v>
      </c>
      <c r="V214" t="s">
        <v>3348</v>
      </c>
      <c r="W214" t="s">
        <v>3349</v>
      </c>
      <c r="X214" t="s">
        <v>3350</v>
      </c>
      <c r="Y214" t="s">
        <v>1554</v>
      </c>
      <c r="Z214" t="s">
        <v>74</v>
      </c>
      <c r="AA214" t="s">
        <v>3351</v>
      </c>
      <c r="AB214" t="s">
        <v>3352</v>
      </c>
      <c r="AC214" t="s">
        <v>74</v>
      </c>
      <c r="AD214" t="s">
        <v>74</v>
      </c>
      <c r="AE214" t="s">
        <v>74</v>
      </c>
      <c r="AF214" t="s">
        <v>74</v>
      </c>
      <c r="AG214">
        <v>49</v>
      </c>
      <c r="AH214">
        <v>53</v>
      </c>
      <c r="AI214">
        <v>60</v>
      </c>
      <c r="AJ214">
        <v>0</v>
      </c>
      <c r="AK214">
        <v>17</v>
      </c>
      <c r="AL214" t="s">
        <v>169</v>
      </c>
      <c r="AM214" t="s">
        <v>170</v>
      </c>
      <c r="AN214" t="s">
        <v>171</v>
      </c>
      <c r="AO214" t="s">
        <v>3353</v>
      </c>
      <c r="AP214" t="s">
        <v>74</v>
      </c>
      <c r="AQ214" t="s">
        <v>74</v>
      </c>
      <c r="AR214" t="s">
        <v>3345</v>
      </c>
      <c r="AS214" t="s">
        <v>3354</v>
      </c>
      <c r="AT214" t="s">
        <v>3121</v>
      </c>
      <c r="AU214">
        <v>2003</v>
      </c>
      <c r="AV214">
        <v>52</v>
      </c>
      <c r="AW214">
        <v>6</v>
      </c>
      <c r="AX214" t="s">
        <v>74</v>
      </c>
      <c r="AY214" t="s">
        <v>74</v>
      </c>
      <c r="AZ214" t="s">
        <v>74</v>
      </c>
      <c r="BA214" t="s">
        <v>74</v>
      </c>
      <c r="BB214">
        <v>975</v>
      </c>
      <c r="BC214">
        <v>987</v>
      </c>
      <c r="BD214" t="s">
        <v>74</v>
      </c>
      <c r="BE214" t="s">
        <v>3355</v>
      </c>
      <c r="BF214" t="str">
        <f>HYPERLINK("http://dx.doi.org/10.1016/S0045-6535(03)00265-0","http://dx.doi.org/10.1016/S0045-6535(03)00265-0")</f>
        <v>http://dx.doi.org/10.1016/S0045-6535(03)00265-0</v>
      </c>
      <c r="BG214" t="s">
        <v>74</v>
      </c>
      <c r="BH214" t="s">
        <v>74</v>
      </c>
      <c r="BI214">
        <v>13</v>
      </c>
      <c r="BJ214" t="s">
        <v>2511</v>
      </c>
      <c r="BK214" t="s">
        <v>94</v>
      </c>
      <c r="BL214" t="s">
        <v>2512</v>
      </c>
      <c r="BM214" t="s">
        <v>3356</v>
      </c>
      <c r="BN214">
        <v>12781231</v>
      </c>
      <c r="BO214" t="s">
        <v>74</v>
      </c>
      <c r="BP214" t="s">
        <v>74</v>
      </c>
      <c r="BQ214" t="s">
        <v>74</v>
      </c>
      <c r="BR214" t="s">
        <v>97</v>
      </c>
      <c r="BS214" t="s">
        <v>3357</v>
      </c>
      <c r="BT214" t="str">
        <f>HYPERLINK("https%3A%2F%2Fwww.webofscience.com%2Fwos%2Fwoscc%2Ffull-record%2FWOS:000183788400005","View Full Record in Web of Science")</f>
        <v>View Full Record in Web of Science</v>
      </c>
    </row>
    <row r="215" spans="1:72" x14ac:dyDescent="0.15">
      <c r="A215" t="s">
        <v>72</v>
      </c>
      <c r="B215" t="s">
        <v>3358</v>
      </c>
      <c r="C215" t="s">
        <v>74</v>
      </c>
      <c r="D215" t="s">
        <v>74</v>
      </c>
      <c r="E215" t="s">
        <v>74</v>
      </c>
      <c r="F215" t="s">
        <v>3358</v>
      </c>
      <c r="G215" t="s">
        <v>74</v>
      </c>
      <c r="H215" t="s">
        <v>74</v>
      </c>
      <c r="I215" t="s">
        <v>3359</v>
      </c>
      <c r="J215" t="s">
        <v>3360</v>
      </c>
      <c r="K215" t="s">
        <v>74</v>
      </c>
      <c r="L215" t="s">
        <v>74</v>
      </c>
      <c r="M215" t="s">
        <v>77</v>
      </c>
      <c r="N215" t="s">
        <v>78</v>
      </c>
      <c r="O215" t="s">
        <v>74</v>
      </c>
      <c r="P215" t="s">
        <v>74</v>
      </c>
      <c r="Q215" t="s">
        <v>74</v>
      </c>
      <c r="R215" t="s">
        <v>74</v>
      </c>
      <c r="S215" t="s">
        <v>74</v>
      </c>
      <c r="T215" t="s">
        <v>3361</v>
      </c>
      <c r="U215" t="s">
        <v>3362</v>
      </c>
      <c r="V215" t="s">
        <v>3363</v>
      </c>
      <c r="W215" t="s">
        <v>3364</v>
      </c>
      <c r="X215" t="s">
        <v>3365</v>
      </c>
      <c r="Y215" t="s">
        <v>3366</v>
      </c>
      <c r="Z215" t="s">
        <v>3367</v>
      </c>
      <c r="AA215" t="s">
        <v>3368</v>
      </c>
      <c r="AB215" t="s">
        <v>74</v>
      </c>
      <c r="AC215" t="s">
        <v>74</v>
      </c>
      <c r="AD215" t="s">
        <v>74</v>
      </c>
      <c r="AE215" t="s">
        <v>74</v>
      </c>
      <c r="AF215" t="s">
        <v>74</v>
      </c>
      <c r="AG215">
        <v>23</v>
      </c>
      <c r="AH215">
        <v>13</v>
      </c>
      <c r="AI215">
        <v>26</v>
      </c>
      <c r="AJ215">
        <v>0</v>
      </c>
      <c r="AK215">
        <v>10</v>
      </c>
      <c r="AL215" t="s">
        <v>3369</v>
      </c>
      <c r="AM215" t="s">
        <v>3370</v>
      </c>
      <c r="AN215" t="s">
        <v>3371</v>
      </c>
      <c r="AO215" t="s">
        <v>3372</v>
      </c>
      <c r="AP215" t="s">
        <v>3373</v>
      </c>
      <c r="AQ215" t="s">
        <v>74</v>
      </c>
      <c r="AR215" t="s">
        <v>3374</v>
      </c>
      <c r="AS215" t="s">
        <v>3375</v>
      </c>
      <c r="AT215" t="s">
        <v>3121</v>
      </c>
      <c r="AU215">
        <v>2003</v>
      </c>
      <c r="AV215">
        <v>48</v>
      </c>
      <c r="AW215">
        <v>16</v>
      </c>
      <c r="AX215" t="s">
        <v>74</v>
      </c>
      <c r="AY215" t="s">
        <v>74</v>
      </c>
      <c r="AZ215" t="s">
        <v>74</v>
      </c>
      <c r="BA215" t="s">
        <v>74</v>
      </c>
      <c r="BB215">
        <v>1771</v>
      </c>
      <c r="BC215">
        <v>1774</v>
      </c>
      <c r="BD215" t="s">
        <v>74</v>
      </c>
      <c r="BE215" t="s">
        <v>3376</v>
      </c>
      <c r="BF215" t="str">
        <f>HYPERLINK("http://dx.doi.org/10.1007/BF03040634","http://dx.doi.org/10.1007/BF03040634")</f>
        <v>http://dx.doi.org/10.1007/BF03040634</v>
      </c>
      <c r="BG215" t="s">
        <v>74</v>
      </c>
      <c r="BH215" t="s">
        <v>74</v>
      </c>
      <c r="BI215">
        <v>4</v>
      </c>
      <c r="BJ215" t="s">
        <v>971</v>
      </c>
      <c r="BK215" t="s">
        <v>94</v>
      </c>
      <c r="BL215" t="s">
        <v>972</v>
      </c>
      <c r="BM215" t="s">
        <v>3377</v>
      </c>
      <c r="BN215" t="s">
        <v>74</v>
      </c>
      <c r="BO215" t="s">
        <v>74</v>
      </c>
      <c r="BP215" t="s">
        <v>74</v>
      </c>
      <c r="BQ215" t="s">
        <v>74</v>
      </c>
      <c r="BR215" t="s">
        <v>97</v>
      </c>
      <c r="BS215" t="s">
        <v>3378</v>
      </c>
      <c r="BT215" t="str">
        <f>HYPERLINK("https%3A%2F%2Fwww.webofscience.com%2Fwos%2Fwoscc%2Ffull-record%2FWOS:000185218200023","View Full Record in Web of Science")</f>
        <v>View Full Record in Web of Science</v>
      </c>
    </row>
    <row r="216" spans="1:72" x14ac:dyDescent="0.15">
      <c r="A216" t="s">
        <v>72</v>
      </c>
      <c r="B216" t="s">
        <v>3379</v>
      </c>
      <c r="C216" t="s">
        <v>74</v>
      </c>
      <c r="D216" t="s">
        <v>74</v>
      </c>
      <c r="E216" t="s">
        <v>74</v>
      </c>
      <c r="F216" t="s">
        <v>3379</v>
      </c>
      <c r="G216" t="s">
        <v>74</v>
      </c>
      <c r="H216" t="s">
        <v>74</v>
      </c>
      <c r="I216" t="s">
        <v>3380</v>
      </c>
      <c r="J216" t="s">
        <v>1474</v>
      </c>
      <c r="K216" t="s">
        <v>74</v>
      </c>
      <c r="L216" t="s">
        <v>74</v>
      </c>
      <c r="M216" t="s">
        <v>77</v>
      </c>
      <c r="N216" t="s">
        <v>78</v>
      </c>
      <c r="O216" t="s">
        <v>74</v>
      </c>
      <c r="P216" t="s">
        <v>74</v>
      </c>
      <c r="Q216" t="s">
        <v>74</v>
      </c>
      <c r="R216" t="s">
        <v>74</v>
      </c>
      <c r="S216" t="s">
        <v>74</v>
      </c>
      <c r="T216" t="s">
        <v>74</v>
      </c>
      <c r="U216" t="s">
        <v>3381</v>
      </c>
      <c r="V216" t="s">
        <v>3382</v>
      </c>
      <c r="W216" t="s">
        <v>3383</v>
      </c>
      <c r="X216" t="s">
        <v>3384</v>
      </c>
      <c r="Y216" t="s">
        <v>3385</v>
      </c>
      <c r="Z216" t="s">
        <v>3386</v>
      </c>
      <c r="AA216" t="s">
        <v>3387</v>
      </c>
      <c r="AB216" t="s">
        <v>3388</v>
      </c>
      <c r="AC216" t="s">
        <v>74</v>
      </c>
      <c r="AD216" t="s">
        <v>74</v>
      </c>
      <c r="AE216" t="s">
        <v>74</v>
      </c>
      <c r="AF216" t="s">
        <v>74</v>
      </c>
      <c r="AG216">
        <v>69</v>
      </c>
      <c r="AH216">
        <v>48</v>
      </c>
      <c r="AI216">
        <v>52</v>
      </c>
      <c r="AJ216">
        <v>0</v>
      </c>
      <c r="AK216">
        <v>7</v>
      </c>
      <c r="AL216" t="s">
        <v>207</v>
      </c>
      <c r="AM216" t="s">
        <v>229</v>
      </c>
      <c r="AN216" t="s">
        <v>323</v>
      </c>
      <c r="AO216" t="s">
        <v>1483</v>
      </c>
      <c r="AP216" t="s">
        <v>1484</v>
      </c>
      <c r="AQ216" t="s">
        <v>74</v>
      </c>
      <c r="AR216" t="s">
        <v>1485</v>
      </c>
      <c r="AS216" t="s">
        <v>1486</v>
      </c>
      <c r="AT216" t="s">
        <v>3121</v>
      </c>
      <c r="AU216">
        <v>2003</v>
      </c>
      <c r="AV216">
        <v>21</v>
      </c>
      <c r="AW216">
        <v>2</v>
      </c>
      <c r="AX216" t="s">
        <v>74</v>
      </c>
      <c r="AY216" t="s">
        <v>74</v>
      </c>
      <c r="AZ216" t="s">
        <v>74</v>
      </c>
      <c r="BA216" t="s">
        <v>74</v>
      </c>
      <c r="BB216">
        <v>153</v>
      </c>
      <c r="BC216">
        <v>166</v>
      </c>
      <c r="BD216" t="s">
        <v>74</v>
      </c>
      <c r="BE216" t="s">
        <v>3389</v>
      </c>
      <c r="BF216" t="str">
        <f>HYPERLINK("http://dx.doi.org/10.1007/s00382-003-0321-9","http://dx.doi.org/10.1007/s00382-003-0321-9")</f>
        <v>http://dx.doi.org/10.1007/s00382-003-0321-9</v>
      </c>
      <c r="BG216" t="s">
        <v>74</v>
      </c>
      <c r="BH216" t="s">
        <v>74</v>
      </c>
      <c r="BI216">
        <v>14</v>
      </c>
      <c r="BJ216" t="s">
        <v>93</v>
      </c>
      <c r="BK216" t="s">
        <v>94</v>
      </c>
      <c r="BL216" t="s">
        <v>93</v>
      </c>
      <c r="BM216" t="s">
        <v>3390</v>
      </c>
      <c r="BN216" t="s">
        <v>74</v>
      </c>
      <c r="BO216" t="s">
        <v>74</v>
      </c>
      <c r="BP216" t="s">
        <v>74</v>
      </c>
      <c r="BQ216" t="s">
        <v>74</v>
      </c>
      <c r="BR216" t="s">
        <v>97</v>
      </c>
      <c r="BS216" t="s">
        <v>3391</v>
      </c>
      <c r="BT216" t="str">
        <f>HYPERLINK("https%3A%2F%2Fwww.webofscience.com%2Fwos%2Fwoscc%2Ffull-record%2FWOS:000185256100004","View Full Record in Web of Science")</f>
        <v>View Full Record in Web of Science</v>
      </c>
    </row>
    <row r="217" spans="1:72" x14ac:dyDescent="0.15">
      <c r="A217" t="s">
        <v>72</v>
      </c>
      <c r="B217" t="s">
        <v>3392</v>
      </c>
      <c r="C217" t="s">
        <v>74</v>
      </c>
      <c r="D217" t="s">
        <v>74</v>
      </c>
      <c r="E217" t="s">
        <v>74</v>
      </c>
      <c r="F217" t="s">
        <v>3392</v>
      </c>
      <c r="G217" t="s">
        <v>74</v>
      </c>
      <c r="H217" t="s">
        <v>74</v>
      </c>
      <c r="I217" t="s">
        <v>3393</v>
      </c>
      <c r="J217" t="s">
        <v>3394</v>
      </c>
      <c r="K217" t="s">
        <v>74</v>
      </c>
      <c r="L217" t="s">
        <v>74</v>
      </c>
      <c r="M217" t="s">
        <v>77</v>
      </c>
      <c r="N217" t="s">
        <v>78</v>
      </c>
      <c r="O217" t="s">
        <v>74</v>
      </c>
      <c r="P217" t="s">
        <v>74</v>
      </c>
      <c r="Q217" t="s">
        <v>74</v>
      </c>
      <c r="R217" t="s">
        <v>74</v>
      </c>
      <c r="S217" t="s">
        <v>74</v>
      </c>
      <c r="T217" t="s">
        <v>3395</v>
      </c>
      <c r="U217" t="s">
        <v>3396</v>
      </c>
      <c r="V217" t="s">
        <v>3397</v>
      </c>
      <c r="W217" t="s">
        <v>3398</v>
      </c>
      <c r="X217" t="s">
        <v>706</v>
      </c>
      <c r="Y217" t="s">
        <v>3399</v>
      </c>
      <c r="Z217" t="s">
        <v>3400</v>
      </c>
      <c r="AA217" t="s">
        <v>74</v>
      </c>
      <c r="AB217" t="s">
        <v>74</v>
      </c>
      <c r="AC217" t="s">
        <v>74</v>
      </c>
      <c r="AD217" t="s">
        <v>74</v>
      </c>
      <c r="AE217" t="s">
        <v>74</v>
      </c>
      <c r="AF217" t="s">
        <v>74</v>
      </c>
      <c r="AG217">
        <v>22</v>
      </c>
      <c r="AH217">
        <v>27</v>
      </c>
      <c r="AI217">
        <v>30</v>
      </c>
      <c r="AJ217">
        <v>1</v>
      </c>
      <c r="AK217">
        <v>18</v>
      </c>
      <c r="AL217" t="s">
        <v>2341</v>
      </c>
      <c r="AM217" t="s">
        <v>2342</v>
      </c>
      <c r="AN217" t="s">
        <v>2343</v>
      </c>
      <c r="AO217" t="s">
        <v>3401</v>
      </c>
      <c r="AP217" t="s">
        <v>3402</v>
      </c>
      <c r="AQ217" t="s">
        <v>74</v>
      </c>
      <c r="AR217" t="s">
        <v>3394</v>
      </c>
      <c r="AS217" t="s">
        <v>3403</v>
      </c>
      <c r="AT217" t="s">
        <v>3121</v>
      </c>
      <c r="AU217">
        <v>2003</v>
      </c>
      <c r="AV217">
        <v>47</v>
      </c>
      <c r="AW217">
        <v>1</v>
      </c>
      <c r="AX217" t="s">
        <v>74</v>
      </c>
      <c r="AY217" t="s">
        <v>74</v>
      </c>
      <c r="AZ217" t="s">
        <v>74</v>
      </c>
      <c r="BA217" t="s">
        <v>74</v>
      </c>
      <c r="BB217">
        <v>59</v>
      </c>
      <c r="BC217">
        <v>72</v>
      </c>
      <c r="BD217" t="s">
        <v>74</v>
      </c>
      <c r="BE217" t="s">
        <v>3404</v>
      </c>
      <c r="BF217" t="str">
        <f>HYPERLINK("http://dx.doi.org/10.1016/S0011-2240(03)00069-5","http://dx.doi.org/10.1016/S0011-2240(03)00069-5")</f>
        <v>http://dx.doi.org/10.1016/S0011-2240(03)00069-5</v>
      </c>
      <c r="BG217" t="s">
        <v>74</v>
      </c>
      <c r="BH217" t="s">
        <v>74</v>
      </c>
      <c r="BI217">
        <v>14</v>
      </c>
      <c r="BJ217" t="s">
        <v>3405</v>
      </c>
      <c r="BK217" t="s">
        <v>94</v>
      </c>
      <c r="BL217" t="s">
        <v>3406</v>
      </c>
      <c r="BM217" t="s">
        <v>3407</v>
      </c>
      <c r="BN217">
        <v>12963413</v>
      </c>
      <c r="BO217" t="s">
        <v>74</v>
      </c>
      <c r="BP217" t="s">
        <v>74</v>
      </c>
      <c r="BQ217" t="s">
        <v>74</v>
      </c>
      <c r="BR217" t="s">
        <v>97</v>
      </c>
      <c r="BS217" t="s">
        <v>3408</v>
      </c>
      <c r="BT217" t="str">
        <f>HYPERLINK("https%3A%2F%2Fwww.webofscience.com%2Fwos%2Fwoscc%2Ffull-record%2FWOS:000220794400007","View Full Record in Web of Science")</f>
        <v>View Full Record in Web of Science</v>
      </c>
    </row>
    <row r="218" spans="1:72" x14ac:dyDescent="0.15">
      <c r="A218" t="s">
        <v>72</v>
      </c>
      <c r="B218" t="s">
        <v>3409</v>
      </c>
      <c r="C218" t="s">
        <v>74</v>
      </c>
      <c r="D218" t="s">
        <v>74</v>
      </c>
      <c r="E218" t="s">
        <v>74</v>
      </c>
      <c r="F218" t="s">
        <v>3409</v>
      </c>
      <c r="G218" t="s">
        <v>74</v>
      </c>
      <c r="H218" t="s">
        <v>74</v>
      </c>
      <c r="I218" t="s">
        <v>3410</v>
      </c>
      <c r="J218" t="s">
        <v>1603</v>
      </c>
      <c r="K218" t="s">
        <v>74</v>
      </c>
      <c r="L218" t="s">
        <v>74</v>
      </c>
      <c r="M218" t="s">
        <v>77</v>
      </c>
      <c r="N218" t="s">
        <v>556</v>
      </c>
      <c r="O218" t="s">
        <v>74</v>
      </c>
      <c r="P218" t="s">
        <v>74</v>
      </c>
      <c r="Q218" t="s">
        <v>74</v>
      </c>
      <c r="R218" t="s">
        <v>74</v>
      </c>
      <c r="S218" t="s">
        <v>74</v>
      </c>
      <c r="T218" t="s">
        <v>3411</v>
      </c>
      <c r="U218" t="s">
        <v>3412</v>
      </c>
      <c r="V218" t="s">
        <v>3413</v>
      </c>
      <c r="W218" t="s">
        <v>3414</v>
      </c>
      <c r="X218" t="s">
        <v>3415</v>
      </c>
      <c r="Y218" t="s">
        <v>3416</v>
      </c>
      <c r="Z218" t="s">
        <v>3417</v>
      </c>
      <c r="AA218" t="s">
        <v>74</v>
      </c>
      <c r="AB218" t="s">
        <v>74</v>
      </c>
      <c r="AC218" t="s">
        <v>74</v>
      </c>
      <c r="AD218" t="s">
        <v>74</v>
      </c>
      <c r="AE218" t="s">
        <v>74</v>
      </c>
      <c r="AF218" t="s">
        <v>74</v>
      </c>
      <c r="AG218">
        <v>110</v>
      </c>
      <c r="AH218">
        <v>70</v>
      </c>
      <c r="AI218">
        <v>75</v>
      </c>
      <c r="AJ218">
        <v>0</v>
      </c>
      <c r="AK218">
        <v>15</v>
      </c>
      <c r="AL218" t="s">
        <v>169</v>
      </c>
      <c r="AM218" t="s">
        <v>170</v>
      </c>
      <c r="AN218" t="s">
        <v>171</v>
      </c>
      <c r="AO218" t="s">
        <v>1613</v>
      </c>
      <c r="AP218" t="s">
        <v>74</v>
      </c>
      <c r="AQ218" t="s">
        <v>74</v>
      </c>
      <c r="AR218" t="s">
        <v>1615</v>
      </c>
      <c r="AS218" t="s">
        <v>1616</v>
      </c>
      <c r="AT218" t="s">
        <v>3121</v>
      </c>
      <c r="AU218">
        <v>2003</v>
      </c>
      <c r="AV218">
        <v>50</v>
      </c>
      <c r="AW218">
        <v>8</v>
      </c>
      <c r="AX218" t="s">
        <v>74</v>
      </c>
      <c r="AY218" t="s">
        <v>74</v>
      </c>
      <c r="AZ218" t="s">
        <v>74</v>
      </c>
      <c r="BA218" t="s">
        <v>74</v>
      </c>
      <c r="BB218">
        <v>959</v>
      </c>
      <c r="BC218">
        <v>985</v>
      </c>
      <c r="BD218" t="s">
        <v>74</v>
      </c>
      <c r="BE218" t="s">
        <v>3418</v>
      </c>
      <c r="BF218" t="str">
        <f>HYPERLINK("http://dx.doi.org/10.1016/S0967-0637(03)00094-3","http://dx.doi.org/10.1016/S0967-0637(03)00094-3")</f>
        <v>http://dx.doi.org/10.1016/S0967-0637(03)00094-3</v>
      </c>
      <c r="BG218" t="s">
        <v>74</v>
      </c>
      <c r="BH218" t="s">
        <v>74</v>
      </c>
      <c r="BI218">
        <v>27</v>
      </c>
      <c r="BJ218" t="s">
        <v>678</v>
      </c>
      <c r="BK218" t="s">
        <v>94</v>
      </c>
      <c r="BL218" t="s">
        <v>678</v>
      </c>
      <c r="BM218" t="s">
        <v>3419</v>
      </c>
      <c r="BN218" t="s">
        <v>74</v>
      </c>
      <c r="BO218" t="s">
        <v>74</v>
      </c>
      <c r="BP218" t="s">
        <v>74</v>
      </c>
      <c r="BQ218" t="s">
        <v>74</v>
      </c>
      <c r="BR218" t="s">
        <v>97</v>
      </c>
      <c r="BS218" t="s">
        <v>3420</v>
      </c>
      <c r="BT218" t="str">
        <f>HYPERLINK("https%3A%2F%2Fwww.webofscience.com%2Fwos%2Fwoscc%2Ffull-record%2FWOS:000188458600002","View Full Record in Web of Science")</f>
        <v>View Full Record in Web of Science</v>
      </c>
    </row>
    <row r="219" spans="1:72" x14ac:dyDescent="0.15">
      <c r="A219" t="s">
        <v>72</v>
      </c>
      <c r="B219" t="s">
        <v>3421</v>
      </c>
      <c r="C219" t="s">
        <v>74</v>
      </c>
      <c r="D219" t="s">
        <v>74</v>
      </c>
      <c r="E219" t="s">
        <v>74</v>
      </c>
      <c r="F219" t="s">
        <v>3421</v>
      </c>
      <c r="G219" t="s">
        <v>74</v>
      </c>
      <c r="H219" t="s">
        <v>74</v>
      </c>
      <c r="I219" t="s">
        <v>3422</v>
      </c>
      <c r="J219" t="s">
        <v>1033</v>
      </c>
      <c r="K219" t="s">
        <v>74</v>
      </c>
      <c r="L219" t="s">
        <v>74</v>
      </c>
      <c r="M219" t="s">
        <v>77</v>
      </c>
      <c r="N219" t="s">
        <v>78</v>
      </c>
      <c r="O219" t="s">
        <v>74</v>
      </c>
      <c r="P219" t="s">
        <v>74</v>
      </c>
      <c r="Q219" t="s">
        <v>74</v>
      </c>
      <c r="R219" t="s">
        <v>74</v>
      </c>
      <c r="S219" t="s">
        <v>74</v>
      </c>
      <c r="T219" t="s">
        <v>3423</v>
      </c>
      <c r="U219" t="s">
        <v>3424</v>
      </c>
      <c r="V219" t="s">
        <v>3425</v>
      </c>
      <c r="W219" t="s">
        <v>3426</v>
      </c>
      <c r="X219" t="s">
        <v>3427</v>
      </c>
      <c r="Y219" t="s">
        <v>3428</v>
      </c>
      <c r="Z219" t="s">
        <v>74</v>
      </c>
      <c r="AA219" t="s">
        <v>3429</v>
      </c>
      <c r="AB219" t="s">
        <v>3430</v>
      </c>
      <c r="AC219" t="s">
        <v>74</v>
      </c>
      <c r="AD219" t="s">
        <v>74</v>
      </c>
      <c r="AE219" t="s">
        <v>74</v>
      </c>
      <c r="AF219" t="s">
        <v>74</v>
      </c>
      <c r="AG219">
        <v>29</v>
      </c>
      <c r="AH219">
        <v>39</v>
      </c>
      <c r="AI219">
        <v>42</v>
      </c>
      <c r="AJ219">
        <v>1</v>
      </c>
      <c r="AK219">
        <v>11</v>
      </c>
      <c r="AL219" t="s">
        <v>110</v>
      </c>
      <c r="AM219" t="s">
        <v>111</v>
      </c>
      <c r="AN219" t="s">
        <v>112</v>
      </c>
      <c r="AO219" t="s">
        <v>1043</v>
      </c>
      <c r="AP219" t="s">
        <v>74</v>
      </c>
      <c r="AQ219" t="s">
        <v>74</v>
      </c>
      <c r="AR219" t="s">
        <v>1045</v>
      </c>
      <c r="AS219" t="s">
        <v>1046</v>
      </c>
      <c r="AT219" t="s">
        <v>3431</v>
      </c>
      <c r="AU219">
        <v>2003</v>
      </c>
      <c r="AV219">
        <v>213</v>
      </c>
      <c r="AW219" t="s">
        <v>787</v>
      </c>
      <c r="AX219" t="s">
        <v>74</v>
      </c>
      <c r="AY219" t="s">
        <v>74</v>
      </c>
      <c r="AZ219" t="s">
        <v>74</v>
      </c>
      <c r="BA219" t="s">
        <v>74</v>
      </c>
      <c r="BB219">
        <v>53</v>
      </c>
      <c r="BC219">
        <v>62</v>
      </c>
      <c r="BD219" t="s">
        <v>74</v>
      </c>
      <c r="BE219" t="s">
        <v>3432</v>
      </c>
      <c r="BF219" t="str">
        <f>HYPERLINK("http://dx.doi.org/10.1016/S0012-821X(03)00291-7","http://dx.doi.org/10.1016/S0012-821X(03)00291-7")</f>
        <v>http://dx.doi.org/10.1016/S0012-821X(03)00291-7</v>
      </c>
      <c r="BG219" t="s">
        <v>74</v>
      </c>
      <c r="BH219" t="s">
        <v>74</v>
      </c>
      <c r="BI219">
        <v>10</v>
      </c>
      <c r="BJ219" t="s">
        <v>176</v>
      </c>
      <c r="BK219" t="s">
        <v>94</v>
      </c>
      <c r="BL219" t="s">
        <v>176</v>
      </c>
      <c r="BM219" t="s">
        <v>3433</v>
      </c>
      <c r="BN219" t="s">
        <v>74</v>
      </c>
      <c r="BO219" t="s">
        <v>74</v>
      </c>
      <c r="BP219" t="s">
        <v>74</v>
      </c>
      <c r="BQ219" t="s">
        <v>74</v>
      </c>
      <c r="BR219" t="s">
        <v>97</v>
      </c>
      <c r="BS219" t="s">
        <v>3434</v>
      </c>
      <c r="BT219" t="str">
        <f>HYPERLINK("https%3A%2F%2Fwww.webofscience.com%2Fwos%2Fwoscc%2Ffull-record%2FWOS:000184589600005","View Full Record in Web of Science")</f>
        <v>View Full Record in Web of Science</v>
      </c>
    </row>
    <row r="220" spans="1:72" x14ac:dyDescent="0.15">
      <c r="A220" t="s">
        <v>72</v>
      </c>
      <c r="B220" t="s">
        <v>3435</v>
      </c>
      <c r="C220" t="s">
        <v>74</v>
      </c>
      <c r="D220" t="s">
        <v>74</v>
      </c>
      <c r="E220" t="s">
        <v>74</v>
      </c>
      <c r="F220" t="s">
        <v>3435</v>
      </c>
      <c r="G220" t="s">
        <v>74</v>
      </c>
      <c r="H220" t="s">
        <v>74</v>
      </c>
      <c r="I220" t="s">
        <v>3436</v>
      </c>
      <c r="J220" t="s">
        <v>3437</v>
      </c>
      <c r="K220" t="s">
        <v>74</v>
      </c>
      <c r="L220" t="s">
        <v>74</v>
      </c>
      <c r="M220" t="s">
        <v>77</v>
      </c>
      <c r="N220" t="s">
        <v>78</v>
      </c>
      <c r="O220" t="s">
        <v>74</v>
      </c>
      <c r="P220" t="s">
        <v>74</v>
      </c>
      <c r="Q220" t="s">
        <v>74</v>
      </c>
      <c r="R220" t="s">
        <v>74</v>
      </c>
      <c r="S220" t="s">
        <v>74</v>
      </c>
      <c r="T220" t="s">
        <v>3438</v>
      </c>
      <c r="U220" t="s">
        <v>3439</v>
      </c>
      <c r="V220" t="s">
        <v>3440</v>
      </c>
      <c r="W220" t="s">
        <v>3441</v>
      </c>
      <c r="X220" t="s">
        <v>3442</v>
      </c>
      <c r="Y220" t="s">
        <v>3443</v>
      </c>
      <c r="Z220" t="s">
        <v>74</v>
      </c>
      <c r="AA220" t="s">
        <v>74</v>
      </c>
      <c r="AB220" t="s">
        <v>74</v>
      </c>
      <c r="AC220" t="s">
        <v>74</v>
      </c>
      <c r="AD220" t="s">
        <v>74</v>
      </c>
      <c r="AE220" t="s">
        <v>74</v>
      </c>
      <c r="AF220" t="s">
        <v>74</v>
      </c>
      <c r="AG220">
        <v>63</v>
      </c>
      <c r="AH220">
        <v>85</v>
      </c>
      <c r="AI220">
        <v>91</v>
      </c>
      <c r="AJ220">
        <v>3</v>
      </c>
      <c r="AK220">
        <v>16</v>
      </c>
      <c r="AL220" t="s">
        <v>3444</v>
      </c>
      <c r="AM220" t="s">
        <v>3445</v>
      </c>
      <c r="AN220" t="s">
        <v>3446</v>
      </c>
      <c r="AO220" t="s">
        <v>3447</v>
      </c>
      <c r="AP220" t="s">
        <v>74</v>
      </c>
      <c r="AQ220" t="s">
        <v>74</v>
      </c>
      <c r="AR220" t="s">
        <v>3448</v>
      </c>
      <c r="AS220" t="s">
        <v>3449</v>
      </c>
      <c r="AT220" t="s">
        <v>3121</v>
      </c>
      <c r="AU220">
        <v>2003</v>
      </c>
      <c r="AV220">
        <v>28</v>
      </c>
      <c r="AW220">
        <v>8</v>
      </c>
      <c r="AX220" t="s">
        <v>74</v>
      </c>
      <c r="AY220" t="s">
        <v>74</v>
      </c>
      <c r="AZ220" t="s">
        <v>74</v>
      </c>
      <c r="BA220" t="s">
        <v>74</v>
      </c>
      <c r="BB220">
        <v>823</v>
      </c>
      <c r="BC220">
        <v>836</v>
      </c>
      <c r="BD220" t="s">
        <v>74</v>
      </c>
      <c r="BE220" t="s">
        <v>3450</v>
      </c>
      <c r="BF220" t="str">
        <f>HYPERLINK("http://dx.doi.org/10.1002/esp.494","http://dx.doi.org/10.1002/esp.494")</f>
        <v>http://dx.doi.org/10.1002/esp.494</v>
      </c>
      <c r="BG220" t="s">
        <v>74</v>
      </c>
      <c r="BH220" t="s">
        <v>74</v>
      </c>
      <c r="BI220">
        <v>14</v>
      </c>
      <c r="BJ220" t="s">
        <v>1433</v>
      </c>
      <c r="BK220" t="s">
        <v>94</v>
      </c>
      <c r="BL220" t="s">
        <v>1434</v>
      </c>
      <c r="BM220" t="s">
        <v>3451</v>
      </c>
      <c r="BN220" t="s">
        <v>74</v>
      </c>
      <c r="BO220" t="s">
        <v>74</v>
      </c>
      <c r="BP220" t="s">
        <v>74</v>
      </c>
      <c r="BQ220" t="s">
        <v>74</v>
      </c>
      <c r="BR220" t="s">
        <v>97</v>
      </c>
      <c r="BS220" t="s">
        <v>3452</v>
      </c>
      <c r="BT220" t="str">
        <f>HYPERLINK("https%3A%2F%2Fwww.webofscience.com%2Fwos%2Fwoscc%2Ffull-record%2FWOS:000185123000002","View Full Record in Web of Science")</f>
        <v>View Full Record in Web of Science</v>
      </c>
    </row>
    <row r="221" spans="1:72" x14ac:dyDescent="0.15">
      <c r="A221" t="s">
        <v>72</v>
      </c>
      <c r="B221" t="s">
        <v>3453</v>
      </c>
      <c r="C221" t="s">
        <v>74</v>
      </c>
      <c r="D221" t="s">
        <v>74</v>
      </c>
      <c r="E221" t="s">
        <v>74</v>
      </c>
      <c r="F221" t="s">
        <v>3453</v>
      </c>
      <c r="G221" t="s">
        <v>74</v>
      </c>
      <c r="H221" t="s">
        <v>74</v>
      </c>
      <c r="I221" t="s">
        <v>3454</v>
      </c>
      <c r="J221" t="s">
        <v>3455</v>
      </c>
      <c r="K221" t="s">
        <v>74</v>
      </c>
      <c r="L221" t="s">
        <v>74</v>
      </c>
      <c r="M221" t="s">
        <v>77</v>
      </c>
      <c r="N221" t="s">
        <v>78</v>
      </c>
      <c r="O221" t="s">
        <v>74</v>
      </c>
      <c r="P221" t="s">
        <v>74</v>
      </c>
      <c r="Q221" t="s">
        <v>74</v>
      </c>
      <c r="R221" t="s">
        <v>74</v>
      </c>
      <c r="S221" t="s">
        <v>74</v>
      </c>
      <c r="T221" t="s">
        <v>74</v>
      </c>
      <c r="U221" t="s">
        <v>3456</v>
      </c>
      <c r="V221" t="s">
        <v>3457</v>
      </c>
      <c r="W221" t="s">
        <v>3458</v>
      </c>
      <c r="X221" t="s">
        <v>457</v>
      </c>
      <c r="Y221" t="s">
        <v>3459</v>
      </c>
      <c r="Z221" t="s">
        <v>3460</v>
      </c>
      <c r="AA221" t="s">
        <v>1392</v>
      </c>
      <c r="AB221" t="s">
        <v>74</v>
      </c>
      <c r="AC221" t="s">
        <v>74</v>
      </c>
      <c r="AD221" t="s">
        <v>74</v>
      </c>
      <c r="AE221" t="s">
        <v>74</v>
      </c>
      <c r="AF221" t="s">
        <v>74</v>
      </c>
      <c r="AG221">
        <v>90</v>
      </c>
      <c r="AH221">
        <v>153</v>
      </c>
      <c r="AI221">
        <v>190</v>
      </c>
      <c r="AJ221">
        <v>2</v>
      </c>
      <c r="AK221">
        <v>72</v>
      </c>
      <c r="AL221" t="s">
        <v>250</v>
      </c>
      <c r="AM221" t="s">
        <v>251</v>
      </c>
      <c r="AN221" t="s">
        <v>252</v>
      </c>
      <c r="AO221" t="s">
        <v>3461</v>
      </c>
      <c r="AP221" t="s">
        <v>3462</v>
      </c>
      <c r="AQ221" t="s">
        <v>74</v>
      </c>
      <c r="AR221" t="s">
        <v>3455</v>
      </c>
      <c r="AS221" t="s">
        <v>3463</v>
      </c>
      <c r="AT221" t="s">
        <v>3121</v>
      </c>
      <c r="AU221">
        <v>2003</v>
      </c>
      <c r="AV221">
        <v>26</v>
      </c>
      <c r="AW221">
        <v>4</v>
      </c>
      <c r="AX221" t="s">
        <v>74</v>
      </c>
      <c r="AY221" t="s">
        <v>74</v>
      </c>
      <c r="AZ221" t="s">
        <v>74</v>
      </c>
      <c r="BA221" t="s">
        <v>74</v>
      </c>
      <c r="BB221">
        <v>445</v>
      </c>
      <c r="BC221">
        <v>455</v>
      </c>
      <c r="BD221" t="s">
        <v>74</v>
      </c>
      <c r="BE221" t="s">
        <v>3464</v>
      </c>
      <c r="BF221" t="str">
        <f>HYPERLINK("http://dx.doi.org/10.1034/j.1600-0587.2003.03479.x","http://dx.doi.org/10.1034/j.1600-0587.2003.03479.x")</f>
        <v>http://dx.doi.org/10.1034/j.1600-0587.2003.03479.x</v>
      </c>
      <c r="BG221" t="s">
        <v>74</v>
      </c>
      <c r="BH221" t="s">
        <v>74</v>
      </c>
      <c r="BI221">
        <v>11</v>
      </c>
      <c r="BJ221" t="s">
        <v>329</v>
      </c>
      <c r="BK221" t="s">
        <v>94</v>
      </c>
      <c r="BL221" t="s">
        <v>330</v>
      </c>
      <c r="BM221" t="s">
        <v>3465</v>
      </c>
      <c r="BN221" t="s">
        <v>74</v>
      </c>
      <c r="BO221" t="s">
        <v>74</v>
      </c>
      <c r="BP221" t="s">
        <v>74</v>
      </c>
      <c r="BQ221" t="s">
        <v>74</v>
      </c>
      <c r="BR221" t="s">
        <v>97</v>
      </c>
      <c r="BS221" t="s">
        <v>3466</v>
      </c>
      <c r="BT221" t="str">
        <f>HYPERLINK("https%3A%2F%2Fwww.webofscience.com%2Fwos%2Fwoscc%2Ffull-record%2FWOS:000185481900007","View Full Record in Web of Science")</f>
        <v>View Full Record in Web of Science</v>
      </c>
    </row>
    <row r="222" spans="1:72" x14ac:dyDescent="0.15">
      <c r="A222" t="s">
        <v>72</v>
      </c>
      <c r="B222" t="s">
        <v>3467</v>
      </c>
      <c r="C222" t="s">
        <v>74</v>
      </c>
      <c r="D222" t="s">
        <v>74</v>
      </c>
      <c r="E222" t="s">
        <v>74</v>
      </c>
      <c r="F222" t="s">
        <v>3467</v>
      </c>
      <c r="G222" t="s">
        <v>74</v>
      </c>
      <c r="H222" t="s">
        <v>74</v>
      </c>
      <c r="I222" t="s">
        <v>3468</v>
      </c>
      <c r="J222" t="s">
        <v>3469</v>
      </c>
      <c r="K222" t="s">
        <v>74</v>
      </c>
      <c r="L222" t="s">
        <v>74</v>
      </c>
      <c r="M222" t="s">
        <v>77</v>
      </c>
      <c r="N222" t="s">
        <v>78</v>
      </c>
      <c r="O222" t="s">
        <v>74</v>
      </c>
      <c r="P222" t="s">
        <v>74</v>
      </c>
      <c r="Q222" t="s">
        <v>74</v>
      </c>
      <c r="R222" t="s">
        <v>74</v>
      </c>
      <c r="S222" t="s">
        <v>74</v>
      </c>
      <c r="T222" t="s">
        <v>3470</v>
      </c>
      <c r="U222" t="s">
        <v>3471</v>
      </c>
      <c r="V222" t="s">
        <v>3472</v>
      </c>
      <c r="W222" t="s">
        <v>3473</v>
      </c>
      <c r="X222" t="s">
        <v>3474</v>
      </c>
      <c r="Y222" t="s">
        <v>3475</v>
      </c>
      <c r="Z222" t="s">
        <v>3476</v>
      </c>
      <c r="AA222" t="s">
        <v>3477</v>
      </c>
      <c r="AB222" t="s">
        <v>3478</v>
      </c>
      <c r="AC222" t="s">
        <v>74</v>
      </c>
      <c r="AD222" t="s">
        <v>74</v>
      </c>
      <c r="AE222" t="s">
        <v>74</v>
      </c>
      <c r="AF222" t="s">
        <v>74</v>
      </c>
      <c r="AG222">
        <v>76</v>
      </c>
      <c r="AH222">
        <v>82</v>
      </c>
      <c r="AI222">
        <v>88</v>
      </c>
      <c r="AJ222">
        <v>0</v>
      </c>
      <c r="AK222">
        <v>27</v>
      </c>
      <c r="AL222" t="s">
        <v>250</v>
      </c>
      <c r="AM222" t="s">
        <v>251</v>
      </c>
      <c r="AN222" t="s">
        <v>252</v>
      </c>
      <c r="AO222" t="s">
        <v>3479</v>
      </c>
      <c r="AP222" t="s">
        <v>3480</v>
      </c>
      <c r="AQ222" t="s">
        <v>74</v>
      </c>
      <c r="AR222" t="s">
        <v>3469</v>
      </c>
      <c r="AS222" t="s">
        <v>3481</v>
      </c>
      <c r="AT222" t="s">
        <v>3121</v>
      </c>
      <c r="AU222">
        <v>2003</v>
      </c>
      <c r="AV222">
        <v>57</v>
      </c>
      <c r="AW222">
        <v>8</v>
      </c>
      <c r="AX222" t="s">
        <v>74</v>
      </c>
      <c r="AY222" t="s">
        <v>74</v>
      </c>
      <c r="AZ222" t="s">
        <v>74</v>
      </c>
      <c r="BA222" t="s">
        <v>74</v>
      </c>
      <c r="BB222">
        <v>1917</v>
      </c>
      <c r="BC222">
        <v>1930</v>
      </c>
      <c r="BD222" t="s">
        <v>74</v>
      </c>
      <c r="BE222" t="s">
        <v>74</v>
      </c>
      <c r="BF222" t="s">
        <v>74</v>
      </c>
      <c r="BG222" t="s">
        <v>74</v>
      </c>
      <c r="BH222" t="s">
        <v>74</v>
      </c>
      <c r="BI222">
        <v>14</v>
      </c>
      <c r="BJ222" t="s">
        <v>3482</v>
      </c>
      <c r="BK222" t="s">
        <v>94</v>
      </c>
      <c r="BL222" t="s">
        <v>3483</v>
      </c>
      <c r="BM222" t="s">
        <v>3484</v>
      </c>
      <c r="BN222">
        <v>14503632</v>
      </c>
      <c r="BO222" t="s">
        <v>74</v>
      </c>
      <c r="BP222" t="s">
        <v>74</v>
      </c>
      <c r="BQ222" t="s">
        <v>74</v>
      </c>
      <c r="BR222" t="s">
        <v>97</v>
      </c>
      <c r="BS222" t="s">
        <v>3485</v>
      </c>
      <c r="BT222" t="str">
        <f>HYPERLINK("https%3A%2F%2Fwww.webofscience.com%2Fwos%2Fwoscc%2Ffull-record%2FWOS:000185073500019","View Full Record in Web of Science")</f>
        <v>View Full Record in Web of Science</v>
      </c>
    </row>
    <row r="223" spans="1:72" x14ac:dyDescent="0.15">
      <c r="A223" t="s">
        <v>72</v>
      </c>
      <c r="B223" t="s">
        <v>3486</v>
      </c>
      <c r="C223" t="s">
        <v>74</v>
      </c>
      <c r="D223" t="s">
        <v>74</v>
      </c>
      <c r="E223" t="s">
        <v>74</v>
      </c>
      <c r="F223" t="s">
        <v>3486</v>
      </c>
      <c r="G223" t="s">
        <v>74</v>
      </c>
      <c r="H223" t="s">
        <v>74</v>
      </c>
      <c r="I223" t="s">
        <v>3487</v>
      </c>
      <c r="J223" t="s">
        <v>3488</v>
      </c>
      <c r="K223" t="s">
        <v>74</v>
      </c>
      <c r="L223" t="s">
        <v>74</v>
      </c>
      <c r="M223" t="s">
        <v>77</v>
      </c>
      <c r="N223" t="s">
        <v>78</v>
      </c>
      <c r="O223" t="s">
        <v>74</v>
      </c>
      <c r="P223" t="s">
        <v>74</v>
      </c>
      <c r="Q223" t="s">
        <v>74</v>
      </c>
      <c r="R223" t="s">
        <v>74</v>
      </c>
      <c r="S223" t="s">
        <v>74</v>
      </c>
      <c r="T223" t="s">
        <v>3489</v>
      </c>
      <c r="U223" t="s">
        <v>3490</v>
      </c>
      <c r="V223" t="s">
        <v>3491</v>
      </c>
      <c r="W223" t="s">
        <v>3492</v>
      </c>
      <c r="X223" t="s">
        <v>3493</v>
      </c>
      <c r="Y223" t="s">
        <v>3494</v>
      </c>
      <c r="Z223" t="s">
        <v>3495</v>
      </c>
      <c r="AA223" t="s">
        <v>3496</v>
      </c>
      <c r="AB223" t="s">
        <v>74</v>
      </c>
      <c r="AC223" t="s">
        <v>74</v>
      </c>
      <c r="AD223" t="s">
        <v>74</v>
      </c>
      <c r="AE223" t="s">
        <v>74</v>
      </c>
      <c r="AF223" t="s">
        <v>74</v>
      </c>
      <c r="AG223">
        <v>24</v>
      </c>
      <c r="AH223">
        <v>13</v>
      </c>
      <c r="AI223">
        <v>13</v>
      </c>
      <c r="AJ223">
        <v>0</v>
      </c>
      <c r="AK223">
        <v>6</v>
      </c>
      <c r="AL223" t="s">
        <v>781</v>
      </c>
      <c r="AM223" t="s">
        <v>111</v>
      </c>
      <c r="AN223" t="s">
        <v>782</v>
      </c>
      <c r="AO223" t="s">
        <v>3497</v>
      </c>
      <c r="AP223" t="s">
        <v>3498</v>
      </c>
      <c r="AQ223" t="s">
        <v>74</v>
      </c>
      <c r="AR223" t="s">
        <v>3499</v>
      </c>
      <c r="AS223" t="s">
        <v>3500</v>
      </c>
      <c r="AT223" t="s">
        <v>3121</v>
      </c>
      <c r="AU223">
        <v>2003</v>
      </c>
      <c r="AV223">
        <v>63</v>
      </c>
      <c r="AW223">
        <v>2</v>
      </c>
      <c r="AX223" t="s">
        <v>74</v>
      </c>
      <c r="AY223" t="s">
        <v>74</v>
      </c>
      <c r="AZ223" t="s">
        <v>74</v>
      </c>
      <c r="BA223" t="s">
        <v>74</v>
      </c>
      <c r="BB223">
        <v>179</v>
      </c>
      <c r="BC223">
        <v>191</v>
      </c>
      <c r="BD223" t="s">
        <v>74</v>
      </c>
      <c r="BE223" t="s">
        <v>3501</v>
      </c>
      <c r="BF223" t="str">
        <f>HYPERLINK("http://dx.doi.org/10.1016/S0165-7836(03)00073-0","http://dx.doi.org/10.1016/S0165-7836(03)00073-0")</f>
        <v>http://dx.doi.org/10.1016/S0165-7836(03)00073-0</v>
      </c>
      <c r="BG223" t="s">
        <v>74</v>
      </c>
      <c r="BH223" t="s">
        <v>74</v>
      </c>
      <c r="BI223">
        <v>13</v>
      </c>
      <c r="BJ223" t="s">
        <v>3502</v>
      </c>
      <c r="BK223" t="s">
        <v>94</v>
      </c>
      <c r="BL223" t="s">
        <v>3502</v>
      </c>
      <c r="BM223" t="s">
        <v>3503</v>
      </c>
      <c r="BN223" t="s">
        <v>74</v>
      </c>
      <c r="BO223" t="s">
        <v>74</v>
      </c>
      <c r="BP223" t="s">
        <v>74</v>
      </c>
      <c r="BQ223" t="s">
        <v>74</v>
      </c>
      <c r="BR223" t="s">
        <v>97</v>
      </c>
      <c r="BS223" t="s">
        <v>3504</v>
      </c>
      <c r="BT223" t="str">
        <f>HYPERLINK("https%3A%2F%2Fwww.webofscience.com%2Fwos%2Fwoscc%2Ffull-record%2FWOS:000184221400004","View Full Record in Web of Science")</f>
        <v>View Full Record in Web of Science</v>
      </c>
    </row>
    <row r="224" spans="1:72" x14ac:dyDescent="0.15">
      <c r="A224" t="s">
        <v>72</v>
      </c>
      <c r="B224" t="s">
        <v>3505</v>
      </c>
      <c r="C224" t="s">
        <v>74</v>
      </c>
      <c r="D224" t="s">
        <v>74</v>
      </c>
      <c r="E224" t="s">
        <v>74</v>
      </c>
      <c r="F224" t="s">
        <v>3505</v>
      </c>
      <c r="G224" t="s">
        <v>74</v>
      </c>
      <c r="H224" t="s">
        <v>74</v>
      </c>
      <c r="I224" t="s">
        <v>3506</v>
      </c>
      <c r="J224" t="s">
        <v>3507</v>
      </c>
      <c r="K224" t="s">
        <v>74</v>
      </c>
      <c r="L224" t="s">
        <v>74</v>
      </c>
      <c r="M224" t="s">
        <v>77</v>
      </c>
      <c r="N224" t="s">
        <v>78</v>
      </c>
      <c r="O224" t="s">
        <v>74</v>
      </c>
      <c r="P224" t="s">
        <v>74</v>
      </c>
      <c r="Q224" t="s">
        <v>74</v>
      </c>
      <c r="R224" t="s">
        <v>74</v>
      </c>
      <c r="S224" t="s">
        <v>74</v>
      </c>
      <c r="T224" t="s">
        <v>3508</v>
      </c>
      <c r="U224" t="s">
        <v>3509</v>
      </c>
      <c r="V224" t="s">
        <v>3510</v>
      </c>
      <c r="W224" t="s">
        <v>3511</v>
      </c>
      <c r="X224" t="s">
        <v>3512</v>
      </c>
      <c r="Y224" t="s">
        <v>3513</v>
      </c>
      <c r="Z224" t="s">
        <v>74</v>
      </c>
      <c r="AA224" t="s">
        <v>74</v>
      </c>
      <c r="AB224" t="s">
        <v>74</v>
      </c>
      <c r="AC224" t="s">
        <v>74</v>
      </c>
      <c r="AD224" t="s">
        <v>74</v>
      </c>
      <c r="AE224" t="s">
        <v>74</v>
      </c>
      <c r="AF224" t="s">
        <v>74</v>
      </c>
      <c r="AG224">
        <v>38</v>
      </c>
      <c r="AH224">
        <v>3</v>
      </c>
      <c r="AI224">
        <v>4</v>
      </c>
      <c r="AJ224">
        <v>0</v>
      </c>
      <c r="AK224">
        <v>4</v>
      </c>
      <c r="AL224" t="s">
        <v>3514</v>
      </c>
      <c r="AM224" t="s">
        <v>3515</v>
      </c>
      <c r="AN224" t="s">
        <v>3516</v>
      </c>
      <c r="AO224" t="s">
        <v>3517</v>
      </c>
      <c r="AP224" t="s">
        <v>74</v>
      </c>
      <c r="AQ224" t="s">
        <v>74</v>
      </c>
      <c r="AR224" t="s">
        <v>3518</v>
      </c>
      <c r="AS224" t="s">
        <v>3519</v>
      </c>
      <c r="AT224" t="s">
        <v>3121</v>
      </c>
      <c r="AU224">
        <v>2003</v>
      </c>
      <c r="AV224">
        <v>9</v>
      </c>
      <c r="AW224">
        <v>3</v>
      </c>
      <c r="AX224" t="s">
        <v>74</v>
      </c>
      <c r="AY224" t="s">
        <v>74</v>
      </c>
      <c r="AZ224" t="s">
        <v>74</v>
      </c>
      <c r="BA224" t="s">
        <v>74</v>
      </c>
      <c r="BB224">
        <v>257</v>
      </c>
      <c r="BC224">
        <v>263</v>
      </c>
      <c r="BD224" t="s">
        <v>74</v>
      </c>
      <c r="BE224" t="s">
        <v>3520</v>
      </c>
      <c r="BF224" t="str">
        <f>HYPERLINK("http://dx.doi.org/10.3136/fstr.9.257","http://dx.doi.org/10.3136/fstr.9.257")</f>
        <v>http://dx.doi.org/10.3136/fstr.9.257</v>
      </c>
      <c r="BG224" t="s">
        <v>74</v>
      </c>
      <c r="BH224" t="s">
        <v>74</v>
      </c>
      <c r="BI224">
        <v>7</v>
      </c>
      <c r="BJ224" t="s">
        <v>3521</v>
      </c>
      <c r="BK224" t="s">
        <v>94</v>
      </c>
      <c r="BL224" t="s">
        <v>3521</v>
      </c>
      <c r="BM224" t="s">
        <v>3522</v>
      </c>
      <c r="BN224" t="s">
        <v>74</v>
      </c>
      <c r="BO224" t="s">
        <v>96</v>
      </c>
      <c r="BP224" t="s">
        <v>74</v>
      </c>
      <c r="BQ224" t="s">
        <v>74</v>
      </c>
      <c r="BR224" t="s">
        <v>97</v>
      </c>
      <c r="BS224" t="s">
        <v>3523</v>
      </c>
      <c r="BT224" t="str">
        <f>HYPERLINK("https%3A%2F%2Fwww.webofscience.com%2Fwos%2Fwoscc%2Ffull-record%2FWOS:000185549000010","View Full Record in Web of Science")</f>
        <v>View Full Record in Web of Science</v>
      </c>
    </row>
    <row r="225" spans="1:72" x14ac:dyDescent="0.15">
      <c r="A225" t="s">
        <v>72</v>
      </c>
      <c r="B225" t="s">
        <v>3524</v>
      </c>
      <c r="C225" t="s">
        <v>74</v>
      </c>
      <c r="D225" t="s">
        <v>74</v>
      </c>
      <c r="E225" t="s">
        <v>74</v>
      </c>
      <c r="F225" t="s">
        <v>3524</v>
      </c>
      <c r="G225" t="s">
        <v>74</v>
      </c>
      <c r="H225" t="s">
        <v>74</v>
      </c>
      <c r="I225" t="s">
        <v>3525</v>
      </c>
      <c r="J225" t="s">
        <v>3526</v>
      </c>
      <c r="K225" t="s">
        <v>74</v>
      </c>
      <c r="L225" t="s">
        <v>74</v>
      </c>
      <c r="M225" t="s">
        <v>77</v>
      </c>
      <c r="N225" t="s">
        <v>773</v>
      </c>
      <c r="O225" t="s">
        <v>74</v>
      </c>
      <c r="P225" t="s">
        <v>74</v>
      </c>
      <c r="Q225" t="s">
        <v>74</v>
      </c>
      <c r="R225" t="s">
        <v>74</v>
      </c>
      <c r="S225" t="s">
        <v>74</v>
      </c>
      <c r="T225" t="s">
        <v>74</v>
      </c>
      <c r="U225" t="s">
        <v>3527</v>
      </c>
      <c r="V225" t="s">
        <v>74</v>
      </c>
      <c r="W225" t="s">
        <v>3528</v>
      </c>
      <c r="X225" t="s">
        <v>3529</v>
      </c>
      <c r="Y225" t="s">
        <v>3530</v>
      </c>
      <c r="Z225" t="s">
        <v>74</v>
      </c>
      <c r="AA225" t="s">
        <v>74</v>
      </c>
      <c r="AB225" t="s">
        <v>74</v>
      </c>
      <c r="AC225" t="s">
        <v>74</v>
      </c>
      <c r="AD225" t="s">
        <v>74</v>
      </c>
      <c r="AE225" t="s">
        <v>74</v>
      </c>
      <c r="AF225" t="s">
        <v>74</v>
      </c>
      <c r="AG225">
        <v>59</v>
      </c>
      <c r="AH225">
        <v>50</v>
      </c>
      <c r="AI225">
        <v>56</v>
      </c>
      <c r="AJ225">
        <v>1</v>
      </c>
      <c r="AK225">
        <v>20</v>
      </c>
      <c r="AL225" t="s">
        <v>289</v>
      </c>
      <c r="AM225" t="s">
        <v>170</v>
      </c>
      <c r="AN225" t="s">
        <v>290</v>
      </c>
      <c r="AO225" t="s">
        <v>3531</v>
      </c>
      <c r="AP225" t="s">
        <v>74</v>
      </c>
      <c r="AQ225" t="s">
        <v>74</v>
      </c>
      <c r="AR225" t="s">
        <v>3532</v>
      </c>
      <c r="AS225" t="s">
        <v>3533</v>
      </c>
      <c r="AT225" t="s">
        <v>3121</v>
      </c>
      <c r="AU225">
        <v>2003</v>
      </c>
      <c r="AV225">
        <v>17</v>
      </c>
      <c r="AW225">
        <v>4</v>
      </c>
      <c r="AX225" t="s">
        <v>74</v>
      </c>
      <c r="AY225" t="s">
        <v>74</v>
      </c>
      <c r="AZ225" t="s">
        <v>74</v>
      </c>
      <c r="BA225" t="s">
        <v>74</v>
      </c>
      <c r="BB225">
        <v>562</v>
      </c>
      <c r="BC225">
        <v>567</v>
      </c>
      <c r="BD225" t="s">
        <v>74</v>
      </c>
      <c r="BE225" t="s">
        <v>3534</v>
      </c>
      <c r="BF225" t="str">
        <f>HYPERLINK("http://dx.doi.org/10.1046/j.1365-2435.2003.07431.x","http://dx.doi.org/10.1046/j.1365-2435.2003.07431.x")</f>
        <v>http://dx.doi.org/10.1046/j.1365-2435.2003.07431.x</v>
      </c>
      <c r="BG225" t="s">
        <v>74</v>
      </c>
      <c r="BH225" t="s">
        <v>74</v>
      </c>
      <c r="BI225">
        <v>6</v>
      </c>
      <c r="BJ225" t="s">
        <v>3535</v>
      </c>
      <c r="BK225" t="s">
        <v>94</v>
      </c>
      <c r="BL225" t="s">
        <v>2512</v>
      </c>
      <c r="BM225" t="s">
        <v>3536</v>
      </c>
      <c r="BN225" t="s">
        <v>74</v>
      </c>
      <c r="BO225" t="s">
        <v>74</v>
      </c>
      <c r="BP225" t="s">
        <v>74</v>
      </c>
      <c r="BQ225" t="s">
        <v>74</v>
      </c>
      <c r="BR225" t="s">
        <v>97</v>
      </c>
      <c r="BS225" t="s">
        <v>3537</v>
      </c>
      <c r="BT225" t="str">
        <f>HYPERLINK("https%3A%2F%2Fwww.webofscience.com%2Fwos%2Fwoscc%2Ffull-record%2FWOS:000184573900018","View Full Record in Web of Science")</f>
        <v>View Full Record in Web of Science</v>
      </c>
    </row>
    <row r="226" spans="1:72" x14ac:dyDescent="0.15">
      <c r="A226" t="s">
        <v>72</v>
      </c>
      <c r="B226" t="s">
        <v>3538</v>
      </c>
      <c r="C226" t="s">
        <v>74</v>
      </c>
      <c r="D226" t="s">
        <v>74</v>
      </c>
      <c r="E226" t="s">
        <v>74</v>
      </c>
      <c r="F226" t="s">
        <v>3538</v>
      </c>
      <c r="G226" t="s">
        <v>74</v>
      </c>
      <c r="H226" t="s">
        <v>74</v>
      </c>
      <c r="I226" t="s">
        <v>3539</v>
      </c>
      <c r="J226" t="s">
        <v>3540</v>
      </c>
      <c r="K226" t="s">
        <v>74</v>
      </c>
      <c r="L226" t="s">
        <v>74</v>
      </c>
      <c r="M226" t="s">
        <v>77</v>
      </c>
      <c r="N226" t="s">
        <v>78</v>
      </c>
      <c r="O226" t="s">
        <v>74</v>
      </c>
      <c r="P226" t="s">
        <v>74</v>
      </c>
      <c r="Q226" t="s">
        <v>74</v>
      </c>
      <c r="R226" t="s">
        <v>74</v>
      </c>
      <c r="S226" t="s">
        <v>74</v>
      </c>
      <c r="T226" t="s">
        <v>74</v>
      </c>
      <c r="U226" t="s">
        <v>3541</v>
      </c>
      <c r="V226" t="s">
        <v>3542</v>
      </c>
      <c r="W226" t="s">
        <v>3543</v>
      </c>
      <c r="X226" t="s">
        <v>3544</v>
      </c>
      <c r="Y226" t="s">
        <v>3545</v>
      </c>
      <c r="Z226" t="s">
        <v>3546</v>
      </c>
      <c r="AA226" t="s">
        <v>3547</v>
      </c>
      <c r="AB226" t="s">
        <v>3548</v>
      </c>
      <c r="AC226" t="s">
        <v>74</v>
      </c>
      <c r="AD226" t="s">
        <v>74</v>
      </c>
      <c r="AE226" t="s">
        <v>74</v>
      </c>
      <c r="AF226" t="s">
        <v>74</v>
      </c>
      <c r="AG226">
        <v>88</v>
      </c>
      <c r="AH226">
        <v>6</v>
      </c>
      <c r="AI226">
        <v>6</v>
      </c>
      <c r="AJ226">
        <v>0</v>
      </c>
      <c r="AK226">
        <v>2</v>
      </c>
      <c r="AL226" t="s">
        <v>1817</v>
      </c>
      <c r="AM226" t="s">
        <v>229</v>
      </c>
      <c r="AN226" t="s">
        <v>1818</v>
      </c>
      <c r="AO226" t="s">
        <v>3549</v>
      </c>
      <c r="AP226" t="s">
        <v>3550</v>
      </c>
      <c r="AQ226" t="s">
        <v>74</v>
      </c>
      <c r="AR226" t="s">
        <v>3551</v>
      </c>
      <c r="AS226" t="s">
        <v>3552</v>
      </c>
      <c r="AT226" t="s">
        <v>3121</v>
      </c>
      <c r="AU226">
        <v>2003</v>
      </c>
      <c r="AV226">
        <v>41</v>
      </c>
      <c r="AW226">
        <v>8</v>
      </c>
      <c r="AX226" t="s">
        <v>74</v>
      </c>
      <c r="AY226" t="s">
        <v>74</v>
      </c>
      <c r="AZ226" t="s">
        <v>74</v>
      </c>
      <c r="BA226" t="s">
        <v>74</v>
      </c>
      <c r="BB226">
        <v>727</v>
      </c>
      <c r="BC226">
        <v>740</v>
      </c>
      <c r="BD226" t="s">
        <v>74</v>
      </c>
      <c r="BE226" t="s">
        <v>74</v>
      </c>
      <c r="BF226" t="s">
        <v>74</v>
      </c>
      <c r="BG226" t="s">
        <v>74</v>
      </c>
      <c r="BH226" t="s">
        <v>74</v>
      </c>
      <c r="BI226">
        <v>14</v>
      </c>
      <c r="BJ226" t="s">
        <v>176</v>
      </c>
      <c r="BK226" t="s">
        <v>94</v>
      </c>
      <c r="BL226" t="s">
        <v>176</v>
      </c>
      <c r="BM226" t="s">
        <v>3553</v>
      </c>
      <c r="BN226" t="s">
        <v>74</v>
      </c>
      <c r="BO226" t="s">
        <v>74</v>
      </c>
      <c r="BP226" t="s">
        <v>74</v>
      </c>
      <c r="BQ226" t="s">
        <v>74</v>
      </c>
      <c r="BR226" t="s">
        <v>97</v>
      </c>
      <c r="BS226" t="s">
        <v>3554</v>
      </c>
      <c r="BT226" t="str">
        <f>HYPERLINK("https%3A%2F%2Fwww.webofscience.com%2Fwos%2Fwoscc%2Ffull-record%2FWOS:000185307500001","View Full Record in Web of Science")</f>
        <v>View Full Record in Web of Science</v>
      </c>
    </row>
    <row r="227" spans="1:72" x14ac:dyDescent="0.15">
      <c r="A227" t="s">
        <v>72</v>
      </c>
      <c r="B227" t="s">
        <v>3555</v>
      </c>
      <c r="C227" t="s">
        <v>74</v>
      </c>
      <c r="D227" t="s">
        <v>74</v>
      </c>
      <c r="E227" t="s">
        <v>74</v>
      </c>
      <c r="F227" t="s">
        <v>3555</v>
      </c>
      <c r="G227" t="s">
        <v>74</v>
      </c>
      <c r="H227" t="s">
        <v>74</v>
      </c>
      <c r="I227" t="s">
        <v>3556</v>
      </c>
      <c r="J227" t="s">
        <v>3557</v>
      </c>
      <c r="K227" t="s">
        <v>74</v>
      </c>
      <c r="L227" t="s">
        <v>74</v>
      </c>
      <c r="M227" t="s">
        <v>77</v>
      </c>
      <c r="N227" t="s">
        <v>78</v>
      </c>
      <c r="O227" t="s">
        <v>74</v>
      </c>
      <c r="P227" t="s">
        <v>74</v>
      </c>
      <c r="Q227" t="s">
        <v>74</v>
      </c>
      <c r="R227" t="s">
        <v>74</v>
      </c>
      <c r="S227" t="s">
        <v>74</v>
      </c>
      <c r="T227" t="s">
        <v>3558</v>
      </c>
      <c r="U227" t="s">
        <v>3559</v>
      </c>
      <c r="V227" t="s">
        <v>3560</v>
      </c>
      <c r="W227" t="s">
        <v>3561</v>
      </c>
      <c r="X227" t="s">
        <v>3562</v>
      </c>
      <c r="Y227" t="s">
        <v>3563</v>
      </c>
      <c r="Z227" t="s">
        <v>3564</v>
      </c>
      <c r="AA227" t="s">
        <v>74</v>
      </c>
      <c r="AB227" t="s">
        <v>74</v>
      </c>
      <c r="AC227" t="s">
        <v>74</v>
      </c>
      <c r="AD227" t="s">
        <v>74</v>
      </c>
      <c r="AE227" t="s">
        <v>74</v>
      </c>
      <c r="AF227" t="s">
        <v>74</v>
      </c>
      <c r="AG227">
        <v>74</v>
      </c>
      <c r="AH227">
        <v>23</v>
      </c>
      <c r="AI227">
        <v>24</v>
      </c>
      <c r="AJ227">
        <v>0</v>
      </c>
      <c r="AK227">
        <v>9</v>
      </c>
      <c r="AL227" t="s">
        <v>1747</v>
      </c>
      <c r="AM227" t="s">
        <v>1748</v>
      </c>
      <c r="AN227" t="s">
        <v>1749</v>
      </c>
      <c r="AO227" t="s">
        <v>3565</v>
      </c>
      <c r="AP227" t="s">
        <v>3566</v>
      </c>
      <c r="AQ227" t="s">
        <v>74</v>
      </c>
      <c r="AR227" t="s">
        <v>3567</v>
      </c>
      <c r="AS227" t="s">
        <v>3568</v>
      </c>
      <c r="AT227" t="s">
        <v>3121</v>
      </c>
      <c r="AU227">
        <v>2003</v>
      </c>
      <c r="AV227">
        <v>115</v>
      </c>
      <c r="AW227">
        <v>8</v>
      </c>
      <c r="AX227" t="s">
        <v>74</v>
      </c>
      <c r="AY227" t="s">
        <v>74</v>
      </c>
      <c r="AZ227" t="s">
        <v>74</v>
      </c>
      <c r="BA227" t="s">
        <v>74</v>
      </c>
      <c r="BB227">
        <v>994</v>
      </c>
      <c r="BC227">
        <v>1015</v>
      </c>
      <c r="BD227" t="s">
        <v>74</v>
      </c>
      <c r="BE227" t="s">
        <v>3569</v>
      </c>
      <c r="BF227" t="str">
        <f>HYPERLINK("http://dx.doi.org/10.1130/B25183.1","http://dx.doi.org/10.1130/B25183.1")</f>
        <v>http://dx.doi.org/10.1130/B25183.1</v>
      </c>
      <c r="BG227" t="s">
        <v>74</v>
      </c>
      <c r="BH227" t="s">
        <v>74</v>
      </c>
      <c r="BI227">
        <v>22</v>
      </c>
      <c r="BJ227" t="s">
        <v>548</v>
      </c>
      <c r="BK227" t="s">
        <v>94</v>
      </c>
      <c r="BL227" t="s">
        <v>549</v>
      </c>
      <c r="BM227" t="s">
        <v>3570</v>
      </c>
      <c r="BN227" t="s">
        <v>74</v>
      </c>
      <c r="BO227" t="s">
        <v>1767</v>
      </c>
      <c r="BP227" t="s">
        <v>74</v>
      </c>
      <c r="BQ227" t="s">
        <v>74</v>
      </c>
      <c r="BR227" t="s">
        <v>97</v>
      </c>
      <c r="BS227" t="s">
        <v>3571</v>
      </c>
      <c r="BT227" t="str">
        <f>HYPERLINK("https%3A%2F%2Fwww.webofscience.com%2Fwos%2Fwoscc%2Ffull-record%2FWOS:000184652300008","View Full Record in Web of Science")</f>
        <v>View Full Record in Web of Science</v>
      </c>
    </row>
    <row r="228" spans="1:72" x14ac:dyDescent="0.15">
      <c r="A228" t="s">
        <v>72</v>
      </c>
      <c r="B228" t="s">
        <v>3572</v>
      </c>
      <c r="C228" t="s">
        <v>74</v>
      </c>
      <c r="D228" t="s">
        <v>74</v>
      </c>
      <c r="E228" t="s">
        <v>74</v>
      </c>
      <c r="F228" t="s">
        <v>3572</v>
      </c>
      <c r="G228" t="s">
        <v>74</v>
      </c>
      <c r="H228" t="s">
        <v>74</v>
      </c>
      <c r="I228" t="s">
        <v>3573</v>
      </c>
      <c r="J228" t="s">
        <v>1738</v>
      </c>
      <c r="K228" t="s">
        <v>74</v>
      </c>
      <c r="L228" t="s">
        <v>74</v>
      </c>
      <c r="M228" t="s">
        <v>77</v>
      </c>
      <c r="N228" t="s">
        <v>78</v>
      </c>
      <c r="O228" t="s">
        <v>74</v>
      </c>
      <c r="P228" t="s">
        <v>74</v>
      </c>
      <c r="Q228" t="s">
        <v>74</v>
      </c>
      <c r="R228" t="s">
        <v>74</v>
      </c>
      <c r="S228" t="s">
        <v>74</v>
      </c>
      <c r="T228" t="s">
        <v>3574</v>
      </c>
      <c r="U228" t="s">
        <v>3575</v>
      </c>
      <c r="V228" t="s">
        <v>3576</v>
      </c>
      <c r="W228" t="s">
        <v>3577</v>
      </c>
      <c r="X228" t="s">
        <v>3578</v>
      </c>
      <c r="Y228" t="s">
        <v>3579</v>
      </c>
      <c r="Z228" t="s">
        <v>3580</v>
      </c>
      <c r="AA228" t="s">
        <v>3581</v>
      </c>
      <c r="AB228" t="s">
        <v>3582</v>
      </c>
      <c r="AC228" t="s">
        <v>74</v>
      </c>
      <c r="AD228" t="s">
        <v>74</v>
      </c>
      <c r="AE228" t="s">
        <v>74</v>
      </c>
      <c r="AF228" t="s">
        <v>74</v>
      </c>
      <c r="AG228">
        <v>31</v>
      </c>
      <c r="AH228">
        <v>10</v>
      </c>
      <c r="AI228">
        <v>11</v>
      </c>
      <c r="AJ228">
        <v>0</v>
      </c>
      <c r="AK228">
        <v>2</v>
      </c>
      <c r="AL228" t="s">
        <v>1747</v>
      </c>
      <c r="AM228" t="s">
        <v>1748</v>
      </c>
      <c r="AN228" t="s">
        <v>1749</v>
      </c>
      <c r="AO228" t="s">
        <v>1750</v>
      </c>
      <c r="AP228" t="s">
        <v>1751</v>
      </c>
      <c r="AQ228" t="s">
        <v>74</v>
      </c>
      <c r="AR228" t="s">
        <v>1738</v>
      </c>
      <c r="AS228" t="s">
        <v>549</v>
      </c>
      <c r="AT228" t="s">
        <v>3121</v>
      </c>
      <c r="AU228">
        <v>2003</v>
      </c>
      <c r="AV228">
        <v>31</v>
      </c>
      <c r="AW228">
        <v>8</v>
      </c>
      <c r="AX228" t="s">
        <v>74</v>
      </c>
      <c r="AY228" t="s">
        <v>74</v>
      </c>
      <c r="AZ228" t="s">
        <v>74</v>
      </c>
      <c r="BA228" t="s">
        <v>74</v>
      </c>
      <c r="BB228">
        <v>693</v>
      </c>
      <c r="BC228">
        <v>696</v>
      </c>
      <c r="BD228" t="s">
        <v>74</v>
      </c>
      <c r="BE228" t="s">
        <v>3583</v>
      </c>
      <c r="BF228" t="str">
        <f>HYPERLINK("http://dx.doi.org/10.1130/G19469.1","http://dx.doi.org/10.1130/G19469.1")</f>
        <v>http://dx.doi.org/10.1130/G19469.1</v>
      </c>
      <c r="BG228" t="s">
        <v>74</v>
      </c>
      <c r="BH228" t="s">
        <v>74</v>
      </c>
      <c r="BI228">
        <v>4</v>
      </c>
      <c r="BJ228" t="s">
        <v>549</v>
      </c>
      <c r="BK228" t="s">
        <v>94</v>
      </c>
      <c r="BL228" t="s">
        <v>549</v>
      </c>
      <c r="BM228" t="s">
        <v>3584</v>
      </c>
      <c r="BN228" t="s">
        <v>74</v>
      </c>
      <c r="BO228" t="s">
        <v>74</v>
      </c>
      <c r="BP228" t="s">
        <v>74</v>
      </c>
      <c r="BQ228" t="s">
        <v>74</v>
      </c>
      <c r="BR228" t="s">
        <v>97</v>
      </c>
      <c r="BS228" t="s">
        <v>3585</v>
      </c>
      <c r="BT228" t="str">
        <f>HYPERLINK("https%3A%2F%2Fwww.webofscience.com%2Fwos%2Fwoscc%2Ffull-record%2FWOS:000184658400010","View Full Record in Web of Science")</f>
        <v>View Full Record in Web of Science</v>
      </c>
    </row>
    <row r="229" spans="1:72" x14ac:dyDescent="0.15">
      <c r="A229" t="s">
        <v>72</v>
      </c>
      <c r="B229" t="s">
        <v>3586</v>
      </c>
      <c r="C229" t="s">
        <v>74</v>
      </c>
      <c r="D229" t="s">
        <v>74</v>
      </c>
      <c r="E229" t="s">
        <v>74</v>
      </c>
      <c r="F229" t="s">
        <v>3586</v>
      </c>
      <c r="G229" t="s">
        <v>74</v>
      </c>
      <c r="H229" t="s">
        <v>74</v>
      </c>
      <c r="I229" t="s">
        <v>3587</v>
      </c>
      <c r="J229" t="s">
        <v>1883</v>
      </c>
      <c r="K229" t="s">
        <v>74</v>
      </c>
      <c r="L229" t="s">
        <v>74</v>
      </c>
      <c r="M229" t="s">
        <v>77</v>
      </c>
      <c r="N229" t="s">
        <v>159</v>
      </c>
      <c r="O229" t="s">
        <v>3588</v>
      </c>
      <c r="P229" t="s">
        <v>3589</v>
      </c>
      <c r="Q229" t="s">
        <v>3590</v>
      </c>
      <c r="R229" t="s">
        <v>74</v>
      </c>
      <c r="S229" t="s">
        <v>74</v>
      </c>
      <c r="T229" t="s">
        <v>3591</v>
      </c>
      <c r="U229" t="s">
        <v>3592</v>
      </c>
      <c r="V229" t="s">
        <v>3593</v>
      </c>
      <c r="W229" t="s">
        <v>3594</v>
      </c>
      <c r="X229" t="s">
        <v>3595</v>
      </c>
      <c r="Y229" t="s">
        <v>3596</v>
      </c>
      <c r="Z229" t="s">
        <v>3597</v>
      </c>
      <c r="AA229" t="s">
        <v>74</v>
      </c>
      <c r="AB229" t="s">
        <v>3598</v>
      </c>
      <c r="AC229" t="s">
        <v>74</v>
      </c>
      <c r="AD229" t="s">
        <v>74</v>
      </c>
      <c r="AE229" t="s">
        <v>74</v>
      </c>
      <c r="AF229" t="s">
        <v>74</v>
      </c>
      <c r="AG229">
        <v>48</v>
      </c>
      <c r="AH229">
        <v>24</v>
      </c>
      <c r="AI229">
        <v>30</v>
      </c>
      <c r="AJ229">
        <v>1</v>
      </c>
      <c r="AK229">
        <v>4</v>
      </c>
      <c r="AL229" t="s">
        <v>207</v>
      </c>
      <c r="AM229" t="s">
        <v>208</v>
      </c>
      <c r="AN229" t="s">
        <v>209</v>
      </c>
      <c r="AO229" t="s">
        <v>1892</v>
      </c>
      <c r="AP229" t="s">
        <v>3599</v>
      </c>
      <c r="AQ229" t="s">
        <v>74</v>
      </c>
      <c r="AR229" t="s">
        <v>1883</v>
      </c>
      <c r="AS229" t="s">
        <v>1893</v>
      </c>
      <c r="AT229" t="s">
        <v>3431</v>
      </c>
      <c r="AU229">
        <v>2003</v>
      </c>
      <c r="AV229">
        <v>503</v>
      </c>
      <c r="AW229" t="s">
        <v>1894</v>
      </c>
      <c r="AX229" t="s">
        <v>74</v>
      </c>
      <c r="AY229" t="s">
        <v>74</v>
      </c>
      <c r="AZ229" t="s">
        <v>74</v>
      </c>
      <c r="BA229" t="s">
        <v>74</v>
      </c>
      <c r="BB229">
        <v>251</v>
      </c>
      <c r="BC229">
        <v>262</v>
      </c>
      <c r="BD229" t="s">
        <v>74</v>
      </c>
      <c r="BE229" t="s">
        <v>3600</v>
      </c>
      <c r="BF229" t="str">
        <f>HYPERLINK("http://dx.doi.org/10.1023/B:HYDR.0000008477.38383.d6","http://dx.doi.org/10.1023/B:HYDR.0000008477.38383.d6")</f>
        <v>http://dx.doi.org/10.1023/B:HYDR.0000008477.38383.d6</v>
      </c>
      <c r="BG229" t="s">
        <v>74</v>
      </c>
      <c r="BH229" t="s">
        <v>74</v>
      </c>
      <c r="BI229">
        <v>12</v>
      </c>
      <c r="BJ229" t="s">
        <v>235</v>
      </c>
      <c r="BK229" t="s">
        <v>177</v>
      </c>
      <c r="BL229" t="s">
        <v>235</v>
      </c>
      <c r="BM229" t="s">
        <v>3601</v>
      </c>
      <c r="BN229" t="s">
        <v>74</v>
      </c>
      <c r="BO229" t="s">
        <v>74</v>
      </c>
      <c r="BP229" t="s">
        <v>74</v>
      </c>
      <c r="BQ229" t="s">
        <v>74</v>
      </c>
      <c r="BR229" t="s">
        <v>97</v>
      </c>
      <c r="BS229" t="s">
        <v>3602</v>
      </c>
      <c r="BT229" t="str">
        <f>HYPERLINK("https%3A%2F%2Fwww.webofscience.com%2Fwos%2Fwoscc%2Ffull-record%2FWOS:000188316000027","View Full Record in Web of Science")</f>
        <v>View Full Record in Web of Science</v>
      </c>
    </row>
    <row r="230" spans="1:72" x14ac:dyDescent="0.15">
      <c r="A230" t="s">
        <v>72</v>
      </c>
      <c r="B230" t="s">
        <v>3603</v>
      </c>
      <c r="C230" t="s">
        <v>74</v>
      </c>
      <c r="D230" t="s">
        <v>74</v>
      </c>
      <c r="E230" t="s">
        <v>74</v>
      </c>
      <c r="F230" t="s">
        <v>3603</v>
      </c>
      <c r="G230" t="s">
        <v>74</v>
      </c>
      <c r="H230" t="s">
        <v>74</v>
      </c>
      <c r="I230" t="s">
        <v>3604</v>
      </c>
      <c r="J230" t="s">
        <v>3605</v>
      </c>
      <c r="K230" t="s">
        <v>74</v>
      </c>
      <c r="L230" t="s">
        <v>74</v>
      </c>
      <c r="M230" t="s">
        <v>77</v>
      </c>
      <c r="N230" t="s">
        <v>78</v>
      </c>
      <c r="O230" t="s">
        <v>74</v>
      </c>
      <c r="P230" t="s">
        <v>74</v>
      </c>
      <c r="Q230" t="s">
        <v>74</v>
      </c>
      <c r="R230" t="s">
        <v>74</v>
      </c>
      <c r="S230" t="s">
        <v>74</v>
      </c>
      <c r="T230" t="s">
        <v>3606</v>
      </c>
      <c r="U230" t="s">
        <v>3607</v>
      </c>
      <c r="V230" t="s">
        <v>3608</v>
      </c>
      <c r="W230" t="s">
        <v>3609</v>
      </c>
      <c r="X230" t="s">
        <v>82</v>
      </c>
      <c r="Y230" t="s">
        <v>3610</v>
      </c>
      <c r="Z230" t="s">
        <v>74</v>
      </c>
      <c r="AA230" t="s">
        <v>74</v>
      </c>
      <c r="AB230" t="s">
        <v>74</v>
      </c>
      <c r="AC230" t="s">
        <v>74</v>
      </c>
      <c r="AD230" t="s">
        <v>74</v>
      </c>
      <c r="AE230" t="s">
        <v>74</v>
      </c>
      <c r="AF230" t="s">
        <v>74</v>
      </c>
      <c r="AG230">
        <v>57</v>
      </c>
      <c r="AH230">
        <v>54</v>
      </c>
      <c r="AI230">
        <v>60</v>
      </c>
      <c r="AJ230">
        <v>1</v>
      </c>
      <c r="AK230">
        <v>18</v>
      </c>
      <c r="AL230" t="s">
        <v>3611</v>
      </c>
      <c r="AM230" t="s">
        <v>964</v>
      </c>
      <c r="AN230" t="s">
        <v>3612</v>
      </c>
      <c r="AO230" t="s">
        <v>3613</v>
      </c>
      <c r="AP230" t="s">
        <v>74</v>
      </c>
      <c r="AQ230" t="s">
        <v>74</v>
      </c>
      <c r="AR230" t="s">
        <v>3614</v>
      </c>
      <c r="AS230" t="s">
        <v>3615</v>
      </c>
      <c r="AT230" t="s">
        <v>3121</v>
      </c>
      <c r="AU230">
        <v>2003</v>
      </c>
      <c r="AV230">
        <v>60</v>
      </c>
      <c r="AW230">
        <v>4</v>
      </c>
      <c r="AX230" t="s">
        <v>74</v>
      </c>
      <c r="AY230" t="s">
        <v>74</v>
      </c>
      <c r="AZ230" t="s">
        <v>74</v>
      </c>
      <c r="BA230" t="s">
        <v>74</v>
      </c>
      <c r="BB230">
        <v>885</v>
      </c>
      <c r="BC230">
        <v>898</v>
      </c>
      <c r="BD230" t="s">
        <v>74</v>
      </c>
      <c r="BE230" t="s">
        <v>3616</v>
      </c>
      <c r="BF230" t="str">
        <f>HYPERLINK("http://dx.doi.org/10.1016/S1054-3139(03)00070-5","http://dx.doi.org/10.1016/S1054-3139(03)00070-5")</f>
        <v>http://dx.doi.org/10.1016/S1054-3139(03)00070-5</v>
      </c>
      <c r="BG230" t="s">
        <v>74</v>
      </c>
      <c r="BH230" t="s">
        <v>74</v>
      </c>
      <c r="BI230">
        <v>14</v>
      </c>
      <c r="BJ230" t="s">
        <v>3617</v>
      </c>
      <c r="BK230" t="s">
        <v>94</v>
      </c>
      <c r="BL230" t="s">
        <v>3617</v>
      </c>
      <c r="BM230" t="s">
        <v>3618</v>
      </c>
      <c r="BN230" t="s">
        <v>74</v>
      </c>
      <c r="BO230" t="s">
        <v>96</v>
      </c>
      <c r="BP230" t="s">
        <v>74</v>
      </c>
      <c r="BQ230" t="s">
        <v>74</v>
      </c>
      <c r="BR230" t="s">
        <v>97</v>
      </c>
      <c r="BS230" t="s">
        <v>3619</v>
      </c>
      <c r="BT230" t="str">
        <f>HYPERLINK("https%3A%2F%2Fwww.webofscience.com%2Fwos%2Fwoscc%2Ffull-record%2FWOS:000184396600018","View Full Record in Web of Science")</f>
        <v>View Full Record in Web of Science</v>
      </c>
    </row>
    <row r="231" spans="1:72" x14ac:dyDescent="0.15">
      <c r="A231" t="s">
        <v>72</v>
      </c>
      <c r="B231" t="s">
        <v>3620</v>
      </c>
      <c r="C231" t="s">
        <v>74</v>
      </c>
      <c r="D231" t="s">
        <v>74</v>
      </c>
      <c r="E231" t="s">
        <v>74</v>
      </c>
      <c r="F231" t="s">
        <v>3620</v>
      </c>
      <c r="G231" t="s">
        <v>74</v>
      </c>
      <c r="H231" t="s">
        <v>74</v>
      </c>
      <c r="I231" t="s">
        <v>3621</v>
      </c>
      <c r="J231" t="s">
        <v>3622</v>
      </c>
      <c r="K231" t="s">
        <v>74</v>
      </c>
      <c r="L231" t="s">
        <v>74</v>
      </c>
      <c r="M231" t="s">
        <v>77</v>
      </c>
      <c r="N231" t="s">
        <v>78</v>
      </c>
      <c r="O231" t="s">
        <v>74</v>
      </c>
      <c r="P231" t="s">
        <v>74</v>
      </c>
      <c r="Q231" t="s">
        <v>74</v>
      </c>
      <c r="R231" t="s">
        <v>74</v>
      </c>
      <c r="S231" t="s">
        <v>74</v>
      </c>
      <c r="T231" t="s">
        <v>3623</v>
      </c>
      <c r="U231" t="s">
        <v>3624</v>
      </c>
      <c r="V231" t="s">
        <v>3625</v>
      </c>
      <c r="W231" t="s">
        <v>3626</v>
      </c>
      <c r="X231" t="s">
        <v>3627</v>
      </c>
      <c r="Y231" t="s">
        <v>3628</v>
      </c>
      <c r="Z231" t="s">
        <v>74</v>
      </c>
      <c r="AA231" t="s">
        <v>3629</v>
      </c>
      <c r="AB231" t="s">
        <v>3630</v>
      </c>
      <c r="AC231" t="s">
        <v>74</v>
      </c>
      <c r="AD231" t="s">
        <v>74</v>
      </c>
      <c r="AE231" t="s">
        <v>74</v>
      </c>
      <c r="AF231" t="s">
        <v>74</v>
      </c>
      <c r="AG231">
        <v>31</v>
      </c>
      <c r="AH231">
        <v>17</v>
      </c>
      <c r="AI231">
        <v>20</v>
      </c>
      <c r="AJ231">
        <v>0</v>
      </c>
      <c r="AK231">
        <v>4</v>
      </c>
      <c r="AL231" t="s">
        <v>3631</v>
      </c>
      <c r="AM231" t="s">
        <v>3632</v>
      </c>
      <c r="AN231" t="s">
        <v>3633</v>
      </c>
      <c r="AO231" t="s">
        <v>3634</v>
      </c>
      <c r="AP231" t="s">
        <v>74</v>
      </c>
      <c r="AQ231" t="s">
        <v>74</v>
      </c>
      <c r="AR231" t="s">
        <v>3635</v>
      </c>
      <c r="AS231" t="s">
        <v>3636</v>
      </c>
      <c r="AT231" t="s">
        <v>3121</v>
      </c>
      <c r="AU231">
        <v>2003</v>
      </c>
      <c r="AV231">
        <v>41</v>
      </c>
      <c r="AW231">
        <v>8</v>
      </c>
      <c r="AX231" t="s">
        <v>74</v>
      </c>
      <c r="AY231" t="s">
        <v>74</v>
      </c>
      <c r="AZ231" t="s">
        <v>74</v>
      </c>
      <c r="BA231" t="s">
        <v>74</v>
      </c>
      <c r="BB231">
        <v>1821</v>
      </c>
      <c r="BC231">
        <v>1833</v>
      </c>
      <c r="BD231" t="s">
        <v>74</v>
      </c>
      <c r="BE231" t="s">
        <v>3637</v>
      </c>
      <c r="BF231" t="str">
        <f>HYPERLINK("http://dx.doi.org/10.1109/TGRS.2003.813495","http://dx.doi.org/10.1109/TGRS.2003.813495")</f>
        <v>http://dx.doi.org/10.1109/TGRS.2003.813495</v>
      </c>
      <c r="BG231" t="s">
        <v>74</v>
      </c>
      <c r="BH231" t="s">
        <v>74</v>
      </c>
      <c r="BI231">
        <v>13</v>
      </c>
      <c r="BJ231" t="s">
        <v>3638</v>
      </c>
      <c r="BK231" t="s">
        <v>94</v>
      </c>
      <c r="BL231" t="s">
        <v>3639</v>
      </c>
      <c r="BM231" t="s">
        <v>3640</v>
      </c>
      <c r="BN231" t="s">
        <v>74</v>
      </c>
      <c r="BO231" t="s">
        <v>3641</v>
      </c>
      <c r="BP231" t="s">
        <v>74</v>
      </c>
      <c r="BQ231" t="s">
        <v>74</v>
      </c>
      <c r="BR231" t="s">
        <v>97</v>
      </c>
      <c r="BS231" t="s">
        <v>3642</v>
      </c>
      <c r="BT231" t="str">
        <f>HYPERLINK("https%3A%2F%2Fwww.webofscience.com%2Fwos%2Fwoscc%2Ffull-record%2FWOS:000184861700008","View Full Record in Web of Science")</f>
        <v>View Full Record in Web of Science</v>
      </c>
    </row>
    <row r="232" spans="1:72" x14ac:dyDescent="0.15">
      <c r="A232" t="s">
        <v>72</v>
      </c>
      <c r="B232" t="s">
        <v>3643</v>
      </c>
      <c r="C232" t="s">
        <v>74</v>
      </c>
      <c r="D232" t="s">
        <v>74</v>
      </c>
      <c r="E232" t="s">
        <v>74</v>
      </c>
      <c r="F232" t="s">
        <v>3643</v>
      </c>
      <c r="G232" t="s">
        <v>74</v>
      </c>
      <c r="H232" t="s">
        <v>74</v>
      </c>
      <c r="I232" t="s">
        <v>3644</v>
      </c>
      <c r="J232" t="s">
        <v>3645</v>
      </c>
      <c r="K232" t="s">
        <v>74</v>
      </c>
      <c r="L232" t="s">
        <v>74</v>
      </c>
      <c r="M232" t="s">
        <v>77</v>
      </c>
      <c r="N232" t="s">
        <v>78</v>
      </c>
      <c r="O232" t="s">
        <v>74</v>
      </c>
      <c r="P232" t="s">
        <v>74</v>
      </c>
      <c r="Q232" t="s">
        <v>74</v>
      </c>
      <c r="R232" t="s">
        <v>74</v>
      </c>
      <c r="S232" t="s">
        <v>74</v>
      </c>
      <c r="T232" t="s">
        <v>3646</v>
      </c>
      <c r="U232" t="s">
        <v>3647</v>
      </c>
      <c r="V232" t="s">
        <v>3648</v>
      </c>
      <c r="W232" t="s">
        <v>3649</v>
      </c>
      <c r="X232" t="s">
        <v>3650</v>
      </c>
      <c r="Y232" t="s">
        <v>3651</v>
      </c>
      <c r="Z232" t="s">
        <v>74</v>
      </c>
      <c r="AA232" t="s">
        <v>74</v>
      </c>
      <c r="AB232" t="s">
        <v>74</v>
      </c>
      <c r="AC232" t="s">
        <v>74</v>
      </c>
      <c r="AD232" t="s">
        <v>74</v>
      </c>
      <c r="AE232" t="s">
        <v>74</v>
      </c>
      <c r="AF232" t="s">
        <v>74</v>
      </c>
      <c r="AG232">
        <v>31</v>
      </c>
      <c r="AH232">
        <v>1</v>
      </c>
      <c r="AI232">
        <v>1</v>
      </c>
      <c r="AJ232">
        <v>0</v>
      </c>
      <c r="AK232">
        <v>0</v>
      </c>
      <c r="AL232" t="s">
        <v>3652</v>
      </c>
      <c r="AM232" t="s">
        <v>3653</v>
      </c>
      <c r="AN232" t="s">
        <v>3654</v>
      </c>
      <c r="AO232" t="s">
        <v>3655</v>
      </c>
      <c r="AP232" t="s">
        <v>74</v>
      </c>
      <c r="AQ232" t="s">
        <v>74</v>
      </c>
      <c r="AR232" t="s">
        <v>3656</v>
      </c>
      <c r="AS232" t="s">
        <v>3657</v>
      </c>
      <c r="AT232" t="s">
        <v>3121</v>
      </c>
      <c r="AU232">
        <v>2003</v>
      </c>
      <c r="AV232" t="s">
        <v>3658</v>
      </c>
      <c r="AW232">
        <v>4</v>
      </c>
      <c r="AX232" t="s">
        <v>74</v>
      </c>
      <c r="AY232" t="s">
        <v>74</v>
      </c>
      <c r="AZ232" t="s">
        <v>74</v>
      </c>
      <c r="BA232" t="s">
        <v>74</v>
      </c>
      <c r="BB232">
        <v>451</v>
      </c>
      <c r="BC232">
        <v>455</v>
      </c>
      <c r="BD232" t="s">
        <v>74</v>
      </c>
      <c r="BE232" t="s">
        <v>74</v>
      </c>
      <c r="BF232" t="s">
        <v>74</v>
      </c>
      <c r="BG232" t="s">
        <v>74</v>
      </c>
      <c r="BH232" t="s">
        <v>74</v>
      </c>
      <c r="BI232">
        <v>5</v>
      </c>
      <c r="BJ232" t="s">
        <v>3659</v>
      </c>
      <c r="BK232" t="s">
        <v>94</v>
      </c>
      <c r="BL232" t="s">
        <v>3660</v>
      </c>
      <c r="BM232" t="s">
        <v>3661</v>
      </c>
      <c r="BN232" t="s">
        <v>74</v>
      </c>
      <c r="BO232" t="s">
        <v>74</v>
      </c>
      <c r="BP232" t="s">
        <v>74</v>
      </c>
      <c r="BQ232" t="s">
        <v>74</v>
      </c>
      <c r="BR232" t="s">
        <v>97</v>
      </c>
      <c r="BS232" t="s">
        <v>3662</v>
      </c>
      <c r="BT232" t="str">
        <f>HYPERLINK("https%3A%2F%2Fwww.webofscience.com%2Fwos%2Fwoscc%2Ffull-record%2FWOS:000186059600012","View Full Record in Web of Science")</f>
        <v>View Full Record in Web of Science</v>
      </c>
    </row>
    <row r="233" spans="1:72" x14ac:dyDescent="0.15">
      <c r="A233" t="s">
        <v>72</v>
      </c>
      <c r="B233" t="s">
        <v>3663</v>
      </c>
      <c r="C233" t="s">
        <v>74</v>
      </c>
      <c r="D233" t="s">
        <v>74</v>
      </c>
      <c r="E233" t="s">
        <v>74</v>
      </c>
      <c r="F233" t="s">
        <v>3663</v>
      </c>
      <c r="G233" t="s">
        <v>74</v>
      </c>
      <c r="H233" t="s">
        <v>74</v>
      </c>
      <c r="I233" t="s">
        <v>3664</v>
      </c>
      <c r="J233" t="s">
        <v>3665</v>
      </c>
      <c r="K233" t="s">
        <v>74</v>
      </c>
      <c r="L233" t="s">
        <v>74</v>
      </c>
      <c r="M233" t="s">
        <v>77</v>
      </c>
      <c r="N233" t="s">
        <v>556</v>
      </c>
      <c r="O233" t="s">
        <v>74</v>
      </c>
      <c r="P233" t="s">
        <v>74</v>
      </c>
      <c r="Q233" t="s">
        <v>74</v>
      </c>
      <c r="R233" t="s">
        <v>74</v>
      </c>
      <c r="S233" t="s">
        <v>74</v>
      </c>
      <c r="T233" t="s">
        <v>3666</v>
      </c>
      <c r="U233" t="s">
        <v>3667</v>
      </c>
      <c r="V233" t="s">
        <v>3668</v>
      </c>
      <c r="W233" t="s">
        <v>3669</v>
      </c>
      <c r="X233" t="s">
        <v>3670</v>
      </c>
      <c r="Y233" t="s">
        <v>3671</v>
      </c>
      <c r="Z233" t="s">
        <v>3672</v>
      </c>
      <c r="AA233" t="s">
        <v>3673</v>
      </c>
      <c r="AB233" t="s">
        <v>3674</v>
      </c>
      <c r="AC233" t="s">
        <v>74</v>
      </c>
      <c r="AD233" t="s">
        <v>74</v>
      </c>
      <c r="AE233" t="s">
        <v>74</v>
      </c>
      <c r="AF233" t="s">
        <v>74</v>
      </c>
      <c r="AG233">
        <v>180</v>
      </c>
      <c r="AH233">
        <v>93</v>
      </c>
      <c r="AI233">
        <v>106</v>
      </c>
      <c r="AJ233">
        <v>7</v>
      </c>
      <c r="AK233">
        <v>88</v>
      </c>
      <c r="AL233" t="s">
        <v>250</v>
      </c>
      <c r="AM233" t="s">
        <v>251</v>
      </c>
      <c r="AN233" t="s">
        <v>252</v>
      </c>
      <c r="AO233" t="s">
        <v>3675</v>
      </c>
      <c r="AP233" t="s">
        <v>3676</v>
      </c>
      <c r="AQ233" t="s">
        <v>74</v>
      </c>
      <c r="AR233" t="s">
        <v>3677</v>
      </c>
      <c r="AS233" t="s">
        <v>3678</v>
      </c>
      <c r="AT233" t="s">
        <v>3121</v>
      </c>
      <c r="AU233">
        <v>2003</v>
      </c>
      <c r="AV233">
        <v>23</v>
      </c>
      <c r="AW233">
        <v>10</v>
      </c>
      <c r="AX233" t="s">
        <v>74</v>
      </c>
      <c r="AY233" t="s">
        <v>74</v>
      </c>
      <c r="AZ233" t="s">
        <v>74</v>
      </c>
      <c r="BA233" t="s">
        <v>74</v>
      </c>
      <c r="BB233">
        <v>1127</v>
      </c>
      <c r="BC233">
        <v>1159</v>
      </c>
      <c r="BD233" t="s">
        <v>74</v>
      </c>
      <c r="BE233" t="s">
        <v>3679</v>
      </c>
      <c r="BF233" t="str">
        <f>HYPERLINK("http://dx.doi.org/10.1002/joc.926","http://dx.doi.org/10.1002/joc.926")</f>
        <v>http://dx.doi.org/10.1002/joc.926</v>
      </c>
      <c r="BG233" t="s">
        <v>74</v>
      </c>
      <c r="BH233" t="s">
        <v>74</v>
      </c>
      <c r="BI233">
        <v>33</v>
      </c>
      <c r="BJ233" t="s">
        <v>93</v>
      </c>
      <c r="BK233" t="s">
        <v>94</v>
      </c>
      <c r="BL233" t="s">
        <v>93</v>
      </c>
      <c r="BM233" t="s">
        <v>3680</v>
      </c>
      <c r="BN233" t="s">
        <v>74</v>
      </c>
      <c r="BO233" t="s">
        <v>74</v>
      </c>
      <c r="BP233" t="s">
        <v>74</v>
      </c>
      <c r="BQ233" t="s">
        <v>74</v>
      </c>
      <c r="BR233" t="s">
        <v>97</v>
      </c>
      <c r="BS233" t="s">
        <v>3681</v>
      </c>
      <c r="BT233" t="str">
        <f>HYPERLINK("https%3A%2F%2Fwww.webofscience.com%2Fwos%2Fwoscc%2Ffull-record%2FWOS:000184607600001","View Full Record in Web of Science")</f>
        <v>View Full Record in Web of Science</v>
      </c>
    </row>
    <row r="234" spans="1:72" x14ac:dyDescent="0.15">
      <c r="A234" t="s">
        <v>72</v>
      </c>
      <c r="B234" t="s">
        <v>3682</v>
      </c>
      <c r="C234" t="s">
        <v>74</v>
      </c>
      <c r="D234" t="s">
        <v>74</v>
      </c>
      <c r="E234" t="s">
        <v>74</v>
      </c>
      <c r="F234" t="s">
        <v>3682</v>
      </c>
      <c r="G234" t="s">
        <v>74</v>
      </c>
      <c r="H234" t="s">
        <v>74</v>
      </c>
      <c r="I234" t="s">
        <v>3683</v>
      </c>
      <c r="J234" t="s">
        <v>3684</v>
      </c>
      <c r="K234" t="s">
        <v>74</v>
      </c>
      <c r="L234" t="s">
        <v>74</v>
      </c>
      <c r="M234" t="s">
        <v>77</v>
      </c>
      <c r="N234" t="s">
        <v>78</v>
      </c>
      <c r="O234" t="s">
        <v>74</v>
      </c>
      <c r="P234" t="s">
        <v>74</v>
      </c>
      <c r="Q234" t="s">
        <v>74</v>
      </c>
      <c r="R234" t="s">
        <v>74</v>
      </c>
      <c r="S234" t="s">
        <v>74</v>
      </c>
      <c r="T234" t="s">
        <v>3685</v>
      </c>
      <c r="U234" t="s">
        <v>3686</v>
      </c>
      <c r="V234" t="s">
        <v>3687</v>
      </c>
      <c r="W234" t="s">
        <v>3688</v>
      </c>
      <c r="X234" t="s">
        <v>3689</v>
      </c>
      <c r="Y234" t="s">
        <v>3690</v>
      </c>
      <c r="Z234" t="s">
        <v>74</v>
      </c>
      <c r="AA234" t="s">
        <v>74</v>
      </c>
      <c r="AB234" t="s">
        <v>3691</v>
      </c>
      <c r="AC234" t="s">
        <v>74</v>
      </c>
      <c r="AD234" t="s">
        <v>74</v>
      </c>
      <c r="AE234" t="s">
        <v>74</v>
      </c>
      <c r="AF234" t="s">
        <v>74</v>
      </c>
      <c r="AG234">
        <v>78</v>
      </c>
      <c r="AH234">
        <v>41</v>
      </c>
      <c r="AI234">
        <v>46</v>
      </c>
      <c r="AJ234">
        <v>0</v>
      </c>
      <c r="AK234">
        <v>35</v>
      </c>
      <c r="AL234" t="s">
        <v>289</v>
      </c>
      <c r="AM234" t="s">
        <v>170</v>
      </c>
      <c r="AN234" t="s">
        <v>290</v>
      </c>
      <c r="AO234" t="s">
        <v>3692</v>
      </c>
      <c r="AP234" t="s">
        <v>74</v>
      </c>
      <c r="AQ234" t="s">
        <v>74</v>
      </c>
      <c r="AR234" t="s">
        <v>3693</v>
      </c>
      <c r="AS234" t="s">
        <v>3694</v>
      </c>
      <c r="AT234" t="s">
        <v>3121</v>
      </c>
      <c r="AU234">
        <v>2003</v>
      </c>
      <c r="AV234">
        <v>40</v>
      </c>
      <c r="AW234">
        <v>4</v>
      </c>
      <c r="AX234" t="s">
        <v>74</v>
      </c>
      <c r="AY234" t="s">
        <v>74</v>
      </c>
      <c r="AZ234" t="s">
        <v>74</v>
      </c>
      <c r="BA234" t="s">
        <v>74</v>
      </c>
      <c r="BB234">
        <v>692</v>
      </c>
      <c r="BC234">
        <v>702</v>
      </c>
      <c r="BD234" t="s">
        <v>74</v>
      </c>
      <c r="BE234" t="s">
        <v>3695</v>
      </c>
      <c r="BF234" t="str">
        <f>HYPERLINK("http://dx.doi.org/10.1046/j.1365-2664.2003.00830.x","http://dx.doi.org/10.1046/j.1365-2664.2003.00830.x")</f>
        <v>http://dx.doi.org/10.1046/j.1365-2664.2003.00830.x</v>
      </c>
      <c r="BG234" t="s">
        <v>74</v>
      </c>
      <c r="BH234" t="s">
        <v>74</v>
      </c>
      <c r="BI234">
        <v>11</v>
      </c>
      <c r="BJ234" t="s">
        <v>329</v>
      </c>
      <c r="BK234" t="s">
        <v>94</v>
      </c>
      <c r="BL234" t="s">
        <v>330</v>
      </c>
      <c r="BM234" t="s">
        <v>3696</v>
      </c>
      <c r="BN234" t="s">
        <v>74</v>
      </c>
      <c r="BO234" t="s">
        <v>628</v>
      </c>
      <c r="BP234" t="s">
        <v>74</v>
      </c>
      <c r="BQ234" t="s">
        <v>74</v>
      </c>
      <c r="BR234" t="s">
        <v>97</v>
      </c>
      <c r="BS234" t="s">
        <v>3697</v>
      </c>
      <c r="BT234" t="str">
        <f>HYPERLINK("https%3A%2F%2Fwww.webofscience.com%2Fwos%2Fwoscc%2Ffull-record%2FWOS:000184109200009","View Full Record in Web of Science")</f>
        <v>View Full Record in Web of Science</v>
      </c>
    </row>
    <row r="235" spans="1:72" x14ac:dyDescent="0.15">
      <c r="A235" t="s">
        <v>72</v>
      </c>
      <c r="B235" t="s">
        <v>3698</v>
      </c>
      <c r="C235" t="s">
        <v>74</v>
      </c>
      <c r="D235" t="s">
        <v>74</v>
      </c>
      <c r="E235" t="s">
        <v>74</v>
      </c>
      <c r="F235" t="s">
        <v>3698</v>
      </c>
      <c r="G235" t="s">
        <v>74</v>
      </c>
      <c r="H235" t="s">
        <v>74</v>
      </c>
      <c r="I235" t="s">
        <v>3699</v>
      </c>
      <c r="J235" t="s">
        <v>3684</v>
      </c>
      <c r="K235" t="s">
        <v>74</v>
      </c>
      <c r="L235" t="s">
        <v>74</v>
      </c>
      <c r="M235" t="s">
        <v>77</v>
      </c>
      <c r="N235" t="s">
        <v>78</v>
      </c>
      <c r="O235" t="s">
        <v>74</v>
      </c>
      <c r="P235" t="s">
        <v>74</v>
      </c>
      <c r="Q235" t="s">
        <v>74</v>
      </c>
      <c r="R235" t="s">
        <v>74</v>
      </c>
      <c r="S235" t="s">
        <v>74</v>
      </c>
      <c r="T235" t="s">
        <v>3700</v>
      </c>
      <c r="U235" t="s">
        <v>3701</v>
      </c>
      <c r="V235" t="s">
        <v>3702</v>
      </c>
      <c r="W235" t="s">
        <v>3703</v>
      </c>
      <c r="X235" t="s">
        <v>3704</v>
      </c>
      <c r="Y235" t="s">
        <v>3705</v>
      </c>
      <c r="Z235" t="s">
        <v>3706</v>
      </c>
      <c r="AA235" t="s">
        <v>3707</v>
      </c>
      <c r="AB235" t="s">
        <v>3708</v>
      </c>
      <c r="AC235" t="s">
        <v>74</v>
      </c>
      <c r="AD235" t="s">
        <v>74</v>
      </c>
      <c r="AE235" t="s">
        <v>74</v>
      </c>
      <c r="AF235" t="s">
        <v>74</v>
      </c>
      <c r="AG235">
        <v>55</v>
      </c>
      <c r="AH235">
        <v>98</v>
      </c>
      <c r="AI235">
        <v>106</v>
      </c>
      <c r="AJ235">
        <v>0</v>
      </c>
      <c r="AK235">
        <v>36</v>
      </c>
      <c r="AL235" t="s">
        <v>250</v>
      </c>
      <c r="AM235" t="s">
        <v>251</v>
      </c>
      <c r="AN235" t="s">
        <v>252</v>
      </c>
      <c r="AO235" t="s">
        <v>3692</v>
      </c>
      <c r="AP235" t="s">
        <v>3709</v>
      </c>
      <c r="AQ235" t="s">
        <v>74</v>
      </c>
      <c r="AR235" t="s">
        <v>3693</v>
      </c>
      <c r="AS235" t="s">
        <v>3694</v>
      </c>
      <c r="AT235" t="s">
        <v>3121</v>
      </c>
      <c r="AU235">
        <v>2003</v>
      </c>
      <c r="AV235">
        <v>40</v>
      </c>
      <c r="AW235">
        <v>4</v>
      </c>
      <c r="AX235" t="s">
        <v>74</v>
      </c>
      <c r="AY235" t="s">
        <v>74</v>
      </c>
      <c r="AZ235" t="s">
        <v>74</v>
      </c>
      <c r="BA235" t="s">
        <v>74</v>
      </c>
      <c r="BB235">
        <v>703</v>
      </c>
      <c r="BC235">
        <v>715</v>
      </c>
      <c r="BD235" t="s">
        <v>74</v>
      </c>
      <c r="BE235" t="s">
        <v>3710</v>
      </c>
      <c r="BF235" t="str">
        <f>HYPERLINK("http://dx.doi.org/10.1046/j.1365-2664.2003.00832.x","http://dx.doi.org/10.1046/j.1365-2664.2003.00832.x")</f>
        <v>http://dx.doi.org/10.1046/j.1365-2664.2003.00832.x</v>
      </c>
      <c r="BG235" t="s">
        <v>74</v>
      </c>
      <c r="BH235" t="s">
        <v>74</v>
      </c>
      <c r="BI235">
        <v>13</v>
      </c>
      <c r="BJ235" t="s">
        <v>329</v>
      </c>
      <c r="BK235" t="s">
        <v>94</v>
      </c>
      <c r="BL235" t="s">
        <v>330</v>
      </c>
      <c r="BM235" t="s">
        <v>3696</v>
      </c>
      <c r="BN235" t="s">
        <v>74</v>
      </c>
      <c r="BO235" t="s">
        <v>96</v>
      </c>
      <c r="BP235" t="s">
        <v>74</v>
      </c>
      <c r="BQ235" t="s">
        <v>74</v>
      </c>
      <c r="BR235" t="s">
        <v>97</v>
      </c>
      <c r="BS235" t="s">
        <v>3711</v>
      </c>
      <c r="BT235" t="str">
        <f>HYPERLINK("https%3A%2F%2Fwww.webofscience.com%2Fwos%2Fwoscc%2Ffull-record%2FWOS:000184109200010","View Full Record in Web of Science")</f>
        <v>View Full Record in Web of Science</v>
      </c>
    </row>
    <row r="236" spans="1:72" x14ac:dyDescent="0.15">
      <c r="A236" t="s">
        <v>72</v>
      </c>
      <c r="B236" t="s">
        <v>3712</v>
      </c>
      <c r="C236" t="s">
        <v>74</v>
      </c>
      <c r="D236" t="s">
        <v>74</v>
      </c>
      <c r="E236" t="s">
        <v>74</v>
      </c>
      <c r="F236" t="s">
        <v>3712</v>
      </c>
      <c r="G236" t="s">
        <v>74</v>
      </c>
      <c r="H236" t="s">
        <v>74</v>
      </c>
      <c r="I236" t="s">
        <v>3713</v>
      </c>
      <c r="J236" t="s">
        <v>3714</v>
      </c>
      <c r="K236" t="s">
        <v>74</v>
      </c>
      <c r="L236" t="s">
        <v>74</v>
      </c>
      <c r="M236" t="s">
        <v>77</v>
      </c>
      <c r="N236" t="s">
        <v>78</v>
      </c>
      <c r="O236" t="s">
        <v>74</v>
      </c>
      <c r="P236" t="s">
        <v>74</v>
      </c>
      <c r="Q236" t="s">
        <v>74</v>
      </c>
      <c r="R236" t="s">
        <v>74</v>
      </c>
      <c r="S236" t="s">
        <v>74</v>
      </c>
      <c r="T236" t="s">
        <v>74</v>
      </c>
      <c r="U236" t="s">
        <v>3715</v>
      </c>
      <c r="V236" t="s">
        <v>3716</v>
      </c>
      <c r="W236" t="s">
        <v>3717</v>
      </c>
      <c r="X236" t="s">
        <v>3718</v>
      </c>
      <c r="Y236" t="s">
        <v>3719</v>
      </c>
      <c r="Z236" t="s">
        <v>74</v>
      </c>
      <c r="AA236" t="s">
        <v>3720</v>
      </c>
      <c r="AB236" t="s">
        <v>3721</v>
      </c>
      <c r="AC236" t="s">
        <v>74</v>
      </c>
      <c r="AD236" t="s">
        <v>74</v>
      </c>
      <c r="AE236" t="s">
        <v>74</v>
      </c>
      <c r="AF236" t="s">
        <v>74</v>
      </c>
      <c r="AG236">
        <v>41</v>
      </c>
      <c r="AH236">
        <v>33</v>
      </c>
      <c r="AI236">
        <v>34</v>
      </c>
      <c r="AJ236">
        <v>0</v>
      </c>
      <c r="AK236">
        <v>1</v>
      </c>
      <c r="AL236" t="s">
        <v>85</v>
      </c>
      <c r="AM236" t="s">
        <v>86</v>
      </c>
      <c r="AN236" t="s">
        <v>87</v>
      </c>
      <c r="AO236" t="s">
        <v>3722</v>
      </c>
      <c r="AP236" t="s">
        <v>74</v>
      </c>
      <c r="AQ236" t="s">
        <v>74</v>
      </c>
      <c r="AR236" t="s">
        <v>3723</v>
      </c>
      <c r="AS236" t="s">
        <v>3724</v>
      </c>
      <c r="AT236" t="s">
        <v>3121</v>
      </c>
      <c r="AU236">
        <v>2003</v>
      </c>
      <c r="AV236">
        <v>42</v>
      </c>
      <c r="AW236">
        <v>8</v>
      </c>
      <c r="AX236" t="s">
        <v>74</v>
      </c>
      <c r="AY236" t="s">
        <v>74</v>
      </c>
      <c r="AZ236" t="s">
        <v>74</v>
      </c>
      <c r="BA236" t="s">
        <v>74</v>
      </c>
      <c r="BB236">
        <v>1174</v>
      </c>
      <c r="BC236">
        <v>1183</v>
      </c>
      <c r="BD236" t="s">
        <v>74</v>
      </c>
      <c r="BE236" t="s">
        <v>3725</v>
      </c>
      <c r="BF236" t="str">
        <f>HYPERLINK("http://dx.doi.org/10.1175/1520-0450(2003)042&lt;1174:MOCROU&gt;2.0.CO;2","http://dx.doi.org/10.1175/1520-0450(2003)042&lt;1174:MOCROU&gt;2.0.CO;2")</f>
        <v>http://dx.doi.org/10.1175/1520-0450(2003)042&lt;1174:MOCROU&gt;2.0.CO;2</v>
      </c>
      <c r="BG236" t="s">
        <v>74</v>
      </c>
      <c r="BH236" t="s">
        <v>74</v>
      </c>
      <c r="BI236">
        <v>10</v>
      </c>
      <c r="BJ236" t="s">
        <v>93</v>
      </c>
      <c r="BK236" t="s">
        <v>94</v>
      </c>
      <c r="BL236" t="s">
        <v>93</v>
      </c>
      <c r="BM236" t="s">
        <v>3726</v>
      </c>
      <c r="BN236" t="s">
        <v>74</v>
      </c>
      <c r="BO236" t="s">
        <v>759</v>
      </c>
      <c r="BP236" t="s">
        <v>74</v>
      </c>
      <c r="BQ236" t="s">
        <v>74</v>
      </c>
      <c r="BR236" t="s">
        <v>97</v>
      </c>
      <c r="BS236" t="s">
        <v>3727</v>
      </c>
      <c r="BT236" t="str">
        <f>HYPERLINK("https%3A%2F%2Fwww.webofscience.com%2Fwos%2Fwoscc%2Ffull-record%2FWOS:000184370400010","View Full Record in Web of Science")</f>
        <v>View Full Record in Web of Science</v>
      </c>
    </row>
    <row r="237" spans="1:72" x14ac:dyDescent="0.15">
      <c r="A237" t="s">
        <v>72</v>
      </c>
      <c r="B237" t="s">
        <v>3728</v>
      </c>
      <c r="C237" t="s">
        <v>74</v>
      </c>
      <c r="D237" t="s">
        <v>74</v>
      </c>
      <c r="E237" t="s">
        <v>74</v>
      </c>
      <c r="F237" t="s">
        <v>3728</v>
      </c>
      <c r="G237" t="s">
        <v>74</v>
      </c>
      <c r="H237" t="s">
        <v>74</v>
      </c>
      <c r="I237" t="s">
        <v>3729</v>
      </c>
      <c r="J237" t="s">
        <v>3730</v>
      </c>
      <c r="K237" t="s">
        <v>74</v>
      </c>
      <c r="L237" t="s">
        <v>74</v>
      </c>
      <c r="M237" t="s">
        <v>77</v>
      </c>
      <c r="N237" t="s">
        <v>78</v>
      </c>
      <c r="O237" t="s">
        <v>74</v>
      </c>
      <c r="P237" t="s">
        <v>74</v>
      </c>
      <c r="Q237" t="s">
        <v>74</v>
      </c>
      <c r="R237" t="s">
        <v>74</v>
      </c>
      <c r="S237" t="s">
        <v>74</v>
      </c>
      <c r="T237" t="s">
        <v>74</v>
      </c>
      <c r="U237" t="s">
        <v>74</v>
      </c>
      <c r="V237" t="s">
        <v>3731</v>
      </c>
      <c r="W237" t="s">
        <v>3732</v>
      </c>
      <c r="X237" t="s">
        <v>3733</v>
      </c>
      <c r="Y237" t="s">
        <v>3734</v>
      </c>
      <c r="Z237" t="s">
        <v>74</v>
      </c>
      <c r="AA237" t="s">
        <v>74</v>
      </c>
      <c r="AB237" t="s">
        <v>74</v>
      </c>
      <c r="AC237" t="s">
        <v>74</v>
      </c>
      <c r="AD237" t="s">
        <v>74</v>
      </c>
      <c r="AE237" t="s">
        <v>74</v>
      </c>
      <c r="AF237" t="s">
        <v>74</v>
      </c>
      <c r="AG237">
        <v>9</v>
      </c>
      <c r="AH237">
        <v>9</v>
      </c>
      <c r="AI237">
        <v>11</v>
      </c>
      <c r="AJ237">
        <v>0</v>
      </c>
      <c r="AK237">
        <v>3</v>
      </c>
      <c r="AL237" t="s">
        <v>85</v>
      </c>
      <c r="AM237" t="s">
        <v>86</v>
      </c>
      <c r="AN237" t="s">
        <v>87</v>
      </c>
      <c r="AO237" t="s">
        <v>3735</v>
      </c>
      <c r="AP237" t="s">
        <v>74</v>
      </c>
      <c r="AQ237" t="s">
        <v>74</v>
      </c>
      <c r="AR237" t="s">
        <v>3736</v>
      </c>
      <c r="AS237" t="s">
        <v>3737</v>
      </c>
      <c r="AT237" t="s">
        <v>3121</v>
      </c>
      <c r="AU237">
        <v>2003</v>
      </c>
      <c r="AV237">
        <v>20</v>
      </c>
      <c r="AW237">
        <v>8</v>
      </c>
      <c r="AX237" t="s">
        <v>74</v>
      </c>
      <c r="AY237" t="s">
        <v>74</v>
      </c>
      <c r="AZ237" t="s">
        <v>74</v>
      </c>
      <c r="BA237" t="s">
        <v>74</v>
      </c>
      <c r="BB237">
        <v>1230</v>
      </c>
      <c r="BC237">
        <v>1235</v>
      </c>
      <c r="BD237" t="s">
        <v>74</v>
      </c>
      <c r="BE237" t="s">
        <v>3738</v>
      </c>
      <c r="BF237" t="str">
        <f>HYPERLINK("http://dx.doi.org/10.1175/1520-0426(2003)020&lt;1230:OTTCOT&gt;2.0.CO;2","http://dx.doi.org/10.1175/1520-0426(2003)020&lt;1230:OTTCOT&gt;2.0.CO;2")</f>
        <v>http://dx.doi.org/10.1175/1520-0426(2003)020&lt;1230:OTTCOT&gt;2.0.CO;2</v>
      </c>
      <c r="BG237" t="s">
        <v>74</v>
      </c>
      <c r="BH237" t="s">
        <v>74</v>
      </c>
      <c r="BI237">
        <v>6</v>
      </c>
      <c r="BJ237" t="s">
        <v>3739</v>
      </c>
      <c r="BK237" t="s">
        <v>94</v>
      </c>
      <c r="BL237" t="s">
        <v>3740</v>
      </c>
      <c r="BM237" t="s">
        <v>3741</v>
      </c>
      <c r="BN237" t="s">
        <v>74</v>
      </c>
      <c r="BO237" t="s">
        <v>759</v>
      </c>
      <c r="BP237" t="s">
        <v>74</v>
      </c>
      <c r="BQ237" t="s">
        <v>74</v>
      </c>
      <c r="BR237" t="s">
        <v>97</v>
      </c>
      <c r="BS237" t="s">
        <v>3742</v>
      </c>
      <c r="BT237" t="str">
        <f>HYPERLINK("https%3A%2F%2Fwww.webofscience.com%2Fwos%2Fwoscc%2Ffull-record%2FWOS:000184618000013","View Full Record in Web of Science")</f>
        <v>View Full Record in Web of Science</v>
      </c>
    </row>
    <row r="238" spans="1:72" x14ac:dyDescent="0.15">
      <c r="A238" t="s">
        <v>72</v>
      </c>
      <c r="B238" t="s">
        <v>3743</v>
      </c>
      <c r="C238" t="s">
        <v>74</v>
      </c>
      <c r="D238" t="s">
        <v>74</v>
      </c>
      <c r="E238" t="s">
        <v>74</v>
      </c>
      <c r="F238" t="s">
        <v>3743</v>
      </c>
      <c r="G238" t="s">
        <v>74</v>
      </c>
      <c r="H238" t="s">
        <v>74</v>
      </c>
      <c r="I238" t="s">
        <v>3744</v>
      </c>
      <c r="J238" t="s">
        <v>2005</v>
      </c>
      <c r="K238" t="s">
        <v>74</v>
      </c>
      <c r="L238" t="s">
        <v>74</v>
      </c>
      <c r="M238" t="s">
        <v>77</v>
      </c>
      <c r="N238" t="s">
        <v>78</v>
      </c>
      <c r="O238" t="s">
        <v>74</v>
      </c>
      <c r="P238" t="s">
        <v>74</v>
      </c>
      <c r="Q238" t="s">
        <v>74</v>
      </c>
      <c r="R238" t="s">
        <v>74</v>
      </c>
      <c r="S238" t="s">
        <v>74</v>
      </c>
      <c r="T238" t="s">
        <v>74</v>
      </c>
      <c r="U238" t="s">
        <v>3745</v>
      </c>
      <c r="V238" t="s">
        <v>3746</v>
      </c>
      <c r="W238" t="s">
        <v>3747</v>
      </c>
      <c r="X238" t="s">
        <v>2087</v>
      </c>
      <c r="Y238" t="s">
        <v>3748</v>
      </c>
      <c r="Z238" t="s">
        <v>74</v>
      </c>
      <c r="AA238" t="s">
        <v>74</v>
      </c>
      <c r="AB238" t="s">
        <v>74</v>
      </c>
      <c r="AC238" t="s">
        <v>74</v>
      </c>
      <c r="AD238" t="s">
        <v>74</v>
      </c>
      <c r="AE238" t="s">
        <v>74</v>
      </c>
      <c r="AF238" t="s">
        <v>74</v>
      </c>
      <c r="AG238">
        <v>26</v>
      </c>
      <c r="AH238">
        <v>25</v>
      </c>
      <c r="AI238">
        <v>26</v>
      </c>
      <c r="AJ238">
        <v>0</v>
      </c>
      <c r="AK238">
        <v>5</v>
      </c>
      <c r="AL238" t="s">
        <v>1263</v>
      </c>
      <c r="AM238" t="s">
        <v>540</v>
      </c>
      <c r="AN238" t="s">
        <v>1264</v>
      </c>
      <c r="AO238" t="s">
        <v>2013</v>
      </c>
      <c r="AP238" t="s">
        <v>74</v>
      </c>
      <c r="AQ238" t="s">
        <v>74</v>
      </c>
      <c r="AR238" t="s">
        <v>2015</v>
      </c>
      <c r="AS238" t="s">
        <v>2016</v>
      </c>
      <c r="AT238" t="s">
        <v>3121</v>
      </c>
      <c r="AU238">
        <v>2003</v>
      </c>
      <c r="AV238">
        <v>185</v>
      </c>
      <c r="AW238">
        <v>15</v>
      </c>
      <c r="AX238" t="s">
        <v>74</v>
      </c>
      <c r="AY238" t="s">
        <v>74</v>
      </c>
      <c r="AZ238" t="s">
        <v>74</v>
      </c>
      <c r="BA238" t="s">
        <v>74</v>
      </c>
      <c r="BB238">
        <v>4483</v>
      </c>
      <c r="BC238">
        <v>4489</v>
      </c>
      <c r="BD238" t="s">
        <v>74</v>
      </c>
      <c r="BE238" t="s">
        <v>3749</v>
      </c>
      <c r="BF238" t="str">
        <f>HYPERLINK("http://dx.doi.org/10.1128/JB.185.15.4483-4489.2003","http://dx.doi.org/10.1128/JB.185.15.4483-4489.2003")</f>
        <v>http://dx.doi.org/10.1128/JB.185.15.4483-4489.2003</v>
      </c>
      <c r="BG238" t="s">
        <v>74</v>
      </c>
      <c r="BH238" t="s">
        <v>74</v>
      </c>
      <c r="BI238">
        <v>7</v>
      </c>
      <c r="BJ238" t="s">
        <v>1912</v>
      </c>
      <c r="BK238" t="s">
        <v>94</v>
      </c>
      <c r="BL238" t="s">
        <v>1912</v>
      </c>
      <c r="BM238" t="s">
        <v>3750</v>
      </c>
      <c r="BN238">
        <v>12867457</v>
      </c>
      <c r="BO238" t="s">
        <v>154</v>
      </c>
      <c r="BP238" t="s">
        <v>74</v>
      </c>
      <c r="BQ238" t="s">
        <v>74</v>
      </c>
      <c r="BR238" t="s">
        <v>97</v>
      </c>
      <c r="BS238" t="s">
        <v>3751</v>
      </c>
      <c r="BT238" t="str">
        <f>HYPERLINK("https%3A%2F%2Fwww.webofscience.com%2Fwos%2Fwoscc%2Ffull-record%2FWOS:000184237800022","View Full Record in Web of Science")</f>
        <v>View Full Record in Web of Science</v>
      </c>
    </row>
    <row r="239" spans="1:72" x14ac:dyDescent="0.15">
      <c r="A239" t="s">
        <v>72</v>
      </c>
      <c r="B239" t="s">
        <v>3752</v>
      </c>
      <c r="C239" t="s">
        <v>74</v>
      </c>
      <c r="D239" t="s">
        <v>74</v>
      </c>
      <c r="E239" t="s">
        <v>74</v>
      </c>
      <c r="F239" t="s">
        <v>3752</v>
      </c>
      <c r="G239" t="s">
        <v>74</v>
      </c>
      <c r="H239" t="s">
        <v>74</v>
      </c>
      <c r="I239" t="s">
        <v>3753</v>
      </c>
      <c r="J239" t="s">
        <v>76</v>
      </c>
      <c r="K239" t="s">
        <v>74</v>
      </c>
      <c r="L239" t="s">
        <v>74</v>
      </c>
      <c r="M239" t="s">
        <v>77</v>
      </c>
      <c r="N239" t="s">
        <v>78</v>
      </c>
      <c r="O239" t="s">
        <v>74</v>
      </c>
      <c r="P239" t="s">
        <v>74</v>
      </c>
      <c r="Q239" t="s">
        <v>74</v>
      </c>
      <c r="R239" t="s">
        <v>74</v>
      </c>
      <c r="S239" t="s">
        <v>74</v>
      </c>
      <c r="T239" t="s">
        <v>74</v>
      </c>
      <c r="U239" t="s">
        <v>3754</v>
      </c>
      <c r="V239" t="s">
        <v>3755</v>
      </c>
      <c r="W239" t="s">
        <v>3756</v>
      </c>
      <c r="X239" t="s">
        <v>3757</v>
      </c>
      <c r="Y239" t="s">
        <v>3758</v>
      </c>
      <c r="Z239" t="s">
        <v>74</v>
      </c>
      <c r="AA239" t="s">
        <v>74</v>
      </c>
      <c r="AB239" t="s">
        <v>74</v>
      </c>
      <c r="AC239" t="s">
        <v>74</v>
      </c>
      <c r="AD239" t="s">
        <v>74</v>
      </c>
      <c r="AE239" t="s">
        <v>74</v>
      </c>
      <c r="AF239" t="s">
        <v>74</v>
      </c>
      <c r="AG239">
        <v>46</v>
      </c>
      <c r="AH239">
        <v>48</v>
      </c>
      <c r="AI239">
        <v>60</v>
      </c>
      <c r="AJ239">
        <v>0</v>
      </c>
      <c r="AK239">
        <v>14</v>
      </c>
      <c r="AL239" t="s">
        <v>85</v>
      </c>
      <c r="AM239" t="s">
        <v>86</v>
      </c>
      <c r="AN239" t="s">
        <v>87</v>
      </c>
      <c r="AO239" t="s">
        <v>88</v>
      </c>
      <c r="AP239" t="s">
        <v>74</v>
      </c>
      <c r="AQ239" t="s">
        <v>74</v>
      </c>
      <c r="AR239" t="s">
        <v>89</v>
      </c>
      <c r="AS239" t="s">
        <v>90</v>
      </c>
      <c r="AT239" t="s">
        <v>3431</v>
      </c>
      <c r="AU239">
        <v>2003</v>
      </c>
      <c r="AV239">
        <v>16</v>
      </c>
      <c r="AW239">
        <v>15</v>
      </c>
      <c r="AX239" t="s">
        <v>74</v>
      </c>
      <c r="AY239" t="s">
        <v>74</v>
      </c>
      <c r="AZ239" t="s">
        <v>74</v>
      </c>
      <c r="BA239" t="s">
        <v>74</v>
      </c>
      <c r="BB239">
        <v>2509</v>
      </c>
      <c r="BC239">
        <v>2525</v>
      </c>
      <c r="BD239" t="s">
        <v>74</v>
      </c>
      <c r="BE239" t="s">
        <v>3759</v>
      </c>
      <c r="BF239" t="str">
        <f>HYPERLINK("http://dx.doi.org/10.1175/1520-0442(2003)016&lt;2509:TACWAC&gt;2.0.CO;2","http://dx.doi.org/10.1175/1520-0442(2003)016&lt;2509:TACWAC&gt;2.0.CO;2")</f>
        <v>http://dx.doi.org/10.1175/1520-0442(2003)016&lt;2509:TACWAC&gt;2.0.CO;2</v>
      </c>
      <c r="BG239" t="s">
        <v>74</v>
      </c>
      <c r="BH239" t="s">
        <v>74</v>
      </c>
      <c r="BI239">
        <v>17</v>
      </c>
      <c r="BJ239" t="s">
        <v>93</v>
      </c>
      <c r="BK239" t="s">
        <v>94</v>
      </c>
      <c r="BL239" t="s">
        <v>93</v>
      </c>
      <c r="BM239" t="s">
        <v>3760</v>
      </c>
      <c r="BN239" t="s">
        <v>74</v>
      </c>
      <c r="BO239" t="s">
        <v>759</v>
      </c>
      <c r="BP239" t="s">
        <v>74</v>
      </c>
      <c r="BQ239" t="s">
        <v>74</v>
      </c>
      <c r="BR239" t="s">
        <v>97</v>
      </c>
      <c r="BS239" t="s">
        <v>3761</v>
      </c>
      <c r="BT239" t="str">
        <f>HYPERLINK("https%3A%2F%2Fwww.webofscience.com%2Fwos%2Fwoscc%2Ffull-record%2FWOS:000184450500005","View Full Record in Web of Science")</f>
        <v>View Full Record in Web of Science</v>
      </c>
    </row>
    <row r="240" spans="1:72" x14ac:dyDescent="0.15">
      <c r="A240" t="s">
        <v>72</v>
      </c>
      <c r="B240" t="s">
        <v>3762</v>
      </c>
      <c r="C240" t="s">
        <v>74</v>
      </c>
      <c r="D240" t="s">
        <v>74</v>
      </c>
      <c r="E240" t="s">
        <v>74</v>
      </c>
      <c r="F240" t="s">
        <v>3762</v>
      </c>
      <c r="G240" t="s">
        <v>74</v>
      </c>
      <c r="H240" t="s">
        <v>74</v>
      </c>
      <c r="I240" t="s">
        <v>3763</v>
      </c>
      <c r="J240" t="s">
        <v>124</v>
      </c>
      <c r="K240" t="s">
        <v>74</v>
      </c>
      <c r="L240" t="s">
        <v>74</v>
      </c>
      <c r="M240" t="s">
        <v>77</v>
      </c>
      <c r="N240" t="s">
        <v>78</v>
      </c>
      <c r="O240" t="s">
        <v>74</v>
      </c>
      <c r="P240" t="s">
        <v>74</v>
      </c>
      <c r="Q240" t="s">
        <v>74</v>
      </c>
      <c r="R240" t="s">
        <v>74</v>
      </c>
      <c r="S240" t="s">
        <v>74</v>
      </c>
      <c r="T240" t="s">
        <v>3764</v>
      </c>
      <c r="U240" t="s">
        <v>3765</v>
      </c>
      <c r="V240" t="s">
        <v>3766</v>
      </c>
      <c r="W240" t="s">
        <v>3767</v>
      </c>
      <c r="X240" t="s">
        <v>3768</v>
      </c>
      <c r="Y240" t="s">
        <v>3769</v>
      </c>
      <c r="Z240" t="s">
        <v>3770</v>
      </c>
      <c r="AA240" t="s">
        <v>3771</v>
      </c>
      <c r="AB240" t="s">
        <v>3772</v>
      </c>
      <c r="AC240" t="s">
        <v>74</v>
      </c>
      <c r="AD240" t="s">
        <v>74</v>
      </c>
      <c r="AE240" t="s">
        <v>74</v>
      </c>
      <c r="AF240" t="s">
        <v>74</v>
      </c>
      <c r="AG240">
        <v>69</v>
      </c>
      <c r="AH240">
        <v>81</v>
      </c>
      <c r="AI240">
        <v>89</v>
      </c>
      <c r="AJ240">
        <v>0</v>
      </c>
      <c r="AK240">
        <v>25</v>
      </c>
      <c r="AL240" t="s">
        <v>3773</v>
      </c>
      <c r="AM240" t="s">
        <v>132</v>
      </c>
      <c r="AN240" t="s">
        <v>3774</v>
      </c>
      <c r="AO240" t="s">
        <v>134</v>
      </c>
      <c r="AP240" t="s">
        <v>3775</v>
      </c>
      <c r="AQ240" t="s">
        <v>74</v>
      </c>
      <c r="AR240" t="s">
        <v>135</v>
      </c>
      <c r="AS240" t="s">
        <v>136</v>
      </c>
      <c r="AT240" t="s">
        <v>3121</v>
      </c>
      <c r="AU240">
        <v>2003</v>
      </c>
      <c r="AV240">
        <v>206</v>
      </c>
      <c r="AW240">
        <v>15</v>
      </c>
      <c r="AX240" t="s">
        <v>74</v>
      </c>
      <c r="AY240" t="s">
        <v>74</v>
      </c>
      <c r="AZ240" t="s">
        <v>74</v>
      </c>
      <c r="BA240" t="s">
        <v>74</v>
      </c>
      <c r="BB240">
        <v>2595</v>
      </c>
      <c r="BC240">
        <v>2609</v>
      </c>
      <c r="BD240" t="s">
        <v>74</v>
      </c>
      <c r="BE240" t="s">
        <v>3776</v>
      </c>
      <c r="BF240" t="str">
        <f>HYPERLINK("http://dx.doi.org/10.1242/jeb.00474","http://dx.doi.org/10.1242/jeb.00474")</f>
        <v>http://dx.doi.org/10.1242/jeb.00474</v>
      </c>
      <c r="BG240" t="s">
        <v>74</v>
      </c>
      <c r="BH240" t="s">
        <v>74</v>
      </c>
      <c r="BI240">
        <v>15</v>
      </c>
      <c r="BJ240" t="s">
        <v>138</v>
      </c>
      <c r="BK240" t="s">
        <v>94</v>
      </c>
      <c r="BL240" t="s">
        <v>139</v>
      </c>
      <c r="BM240" t="s">
        <v>3777</v>
      </c>
      <c r="BN240">
        <v>12819266</v>
      </c>
      <c r="BO240" t="s">
        <v>74</v>
      </c>
      <c r="BP240" t="s">
        <v>74</v>
      </c>
      <c r="BQ240" t="s">
        <v>74</v>
      </c>
      <c r="BR240" t="s">
        <v>97</v>
      </c>
      <c r="BS240" t="s">
        <v>3778</v>
      </c>
      <c r="BT240" t="str">
        <f>HYPERLINK("https%3A%2F%2Fwww.webofscience.com%2Fwos%2Fwoscc%2Ffull-record%2FWOS:000185040600018","View Full Record in Web of Science")</f>
        <v>View Full Record in Web of Science</v>
      </c>
    </row>
    <row r="241" spans="1:72" x14ac:dyDescent="0.15">
      <c r="A241" t="s">
        <v>72</v>
      </c>
      <c r="B241" t="s">
        <v>3779</v>
      </c>
      <c r="C241" t="s">
        <v>74</v>
      </c>
      <c r="D241" t="s">
        <v>74</v>
      </c>
      <c r="E241" t="s">
        <v>74</v>
      </c>
      <c r="F241" t="s">
        <v>3779</v>
      </c>
      <c r="G241" t="s">
        <v>74</v>
      </c>
      <c r="H241" t="s">
        <v>74</v>
      </c>
      <c r="I241" t="s">
        <v>3780</v>
      </c>
      <c r="J241" t="s">
        <v>3781</v>
      </c>
      <c r="K241" t="s">
        <v>74</v>
      </c>
      <c r="L241" t="s">
        <v>74</v>
      </c>
      <c r="M241" t="s">
        <v>77</v>
      </c>
      <c r="N241" t="s">
        <v>159</v>
      </c>
      <c r="O241" t="s">
        <v>3782</v>
      </c>
      <c r="P241" t="s">
        <v>3783</v>
      </c>
      <c r="Q241" t="s">
        <v>3784</v>
      </c>
      <c r="R241" t="s">
        <v>74</v>
      </c>
      <c r="S241" t="s">
        <v>74</v>
      </c>
      <c r="T241" t="s">
        <v>3785</v>
      </c>
      <c r="U241" t="s">
        <v>3786</v>
      </c>
      <c r="V241" t="s">
        <v>3787</v>
      </c>
      <c r="W241" t="s">
        <v>3788</v>
      </c>
      <c r="X241" t="s">
        <v>3789</v>
      </c>
      <c r="Y241" t="s">
        <v>3790</v>
      </c>
      <c r="Z241" t="s">
        <v>3791</v>
      </c>
      <c r="AA241" t="s">
        <v>3792</v>
      </c>
      <c r="AB241" t="s">
        <v>3793</v>
      </c>
      <c r="AC241" t="s">
        <v>74</v>
      </c>
      <c r="AD241" t="s">
        <v>74</v>
      </c>
      <c r="AE241" t="s">
        <v>74</v>
      </c>
      <c r="AF241" t="s">
        <v>74</v>
      </c>
      <c r="AG241">
        <v>55</v>
      </c>
      <c r="AH241">
        <v>236</v>
      </c>
      <c r="AI241">
        <v>264</v>
      </c>
      <c r="AJ241">
        <v>3</v>
      </c>
      <c r="AK241">
        <v>42</v>
      </c>
      <c r="AL241" t="s">
        <v>250</v>
      </c>
      <c r="AM241" t="s">
        <v>251</v>
      </c>
      <c r="AN241" t="s">
        <v>252</v>
      </c>
      <c r="AO241" t="s">
        <v>3794</v>
      </c>
      <c r="AP241" t="s">
        <v>3795</v>
      </c>
      <c r="AQ241" t="s">
        <v>74</v>
      </c>
      <c r="AR241" t="s">
        <v>3796</v>
      </c>
      <c r="AS241" t="s">
        <v>3797</v>
      </c>
      <c r="AT241" t="s">
        <v>3121</v>
      </c>
      <c r="AU241">
        <v>2003</v>
      </c>
      <c r="AV241">
        <v>21</v>
      </c>
      <c r="AW241">
        <v>6</v>
      </c>
      <c r="AX241" t="s">
        <v>74</v>
      </c>
      <c r="AY241" t="s">
        <v>74</v>
      </c>
      <c r="AZ241" t="s">
        <v>74</v>
      </c>
      <c r="BA241" t="s">
        <v>74</v>
      </c>
      <c r="BB241">
        <v>589</v>
      </c>
      <c r="BC241">
        <v>599</v>
      </c>
      <c r="BD241" t="s">
        <v>74</v>
      </c>
      <c r="BE241" t="s">
        <v>3798</v>
      </c>
      <c r="BF241" t="str">
        <f>HYPERLINK("http://dx.doi.org/10.1046/j.1525-1314.2003.00466.x","http://dx.doi.org/10.1046/j.1525-1314.2003.00466.x")</f>
        <v>http://dx.doi.org/10.1046/j.1525-1314.2003.00466.x</v>
      </c>
      <c r="BG241" t="s">
        <v>74</v>
      </c>
      <c r="BH241" t="s">
        <v>74</v>
      </c>
      <c r="BI241">
        <v>11</v>
      </c>
      <c r="BJ241" t="s">
        <v>549</v>
      </c>
      <c r="BK241" t="s">
        <v>177</v>
      </c>
      <c r="BL241" t="s">
        <v>549</v>
      </c>
      <c r="BM241" t="s">
        <v>3799</v>
      </c>
      <c r="BN241" t="s">
        <v>74</v>
      </c>
      <c r="BO241" t="s">
        <v>74</v>
      </c>
      <c r="BP241" t="s">
        <v>74</v>
      </c>
      <c r="BQ241" t="s">
        <v>74</v>
      </c>
      <c r="BR241" t="s">
        <v>97</v>
      </c>
      <c r="BS241" t="s">
        <v>3800</v>
      </c>
      <c r="BT241" t="str">
        <f>HYPERLINK("https%3A%2F%2Fwww.webofscience.com%2Fwos%2Fwoscc%2Ffull-record%2FWOS:000184467500009","View Full Record in Web of Science")</f>
        <v>View Full Record in Web of Science</v>
      </c>
    </row>
    <row r="242" spans="1:72" x14ac:dyDescent="0.15">
      <c r="A242" t="s">
        <v>72</v>
      </c>
      <c r="B242" t="s">
        <v>3801</v>
      </c>
      <c r="C242" t="s">
        <v>74</v>
      </c>
      <c r="D242" t="s">
        <v>74</v>
      </c>
      <c r="E242" t="s">
        <v>74</v>
      </c>
      <c r="F242" t="s">
        <v>3801</v>
      </c>
      <c r="G242" t="s">
        <v>74</v>
      </c>
      <c r="H242" t="s">
        <v>74</v>
      </c>
      <c r="I242" t="s">
        <v>3802</v>
      </c>
      <c r="J242" t="s">
        <v>3803</v>
      </c>
      <c r="K242" t="s">
        <v>74</v>
      </c>
      <c r="L242" t="s">
        <v>74</v>
      </c>
      <c r="M242" t="s">
        <v>77</v>
      </c>
      <c r="N242" t="s">
        <v>78</v>
      </c>
      <c r="O242" t="s">
        <v>74</v>
      </c>
      <c r="P242" t="s">
        <v>74</v>
      </c>
      <c r="Q242" t="s">
        <v>74</v>
      </c>
      <c r="R242" t="s">
        <v>74</v>
      </c>
      <c r="S242" t="s">
        <v>74</v>
      </c>
      <c r="T242" t="s">
        <v>74</v>
      </c>
      <c r="U242" t="s">
        <v>3804</v>
      </c>
      <c r="V242" t="s">
        <v>74</v>
      </c>
      <c r="W242" t="s">
        <v>3805</v>
      </c>
      <c r="X242" t="s">
        <v>3806</v>
      </c>
      <c r="Y242" t="s">
        <v>3807</v>
      </c>
      <c r="Z242" t="s">
        <v>74</v>
      </c>
      <c r="AA242" t="s">
        <v>3808</v>
      </c>
      <c r="AB242" t="s">
        <v>3809</v>
      </c>
      <c r="AC242" t="s">
        <v>74</v>
      </c>
      <c r="AD242" t="s">
        <v>74</v>
      </c>
      <c r="AE242" t="s">
        <v>74</v>
      </c>
      <c r="AF242" t="s">
        <v>74</v>
      </c>
      <c r="AG242">
        <v>25</v>
      </c>
      <c r="AH242">
        <v>6</v>
      </c>
      <c r="AI242">
        <v>8</v>
      </c>
      <c r="AJ242">
        <v>0</v>
      </c>
      <c r="AK242">
        <v>2</v>
      </c>
      <c r="AL242" t="s">
        <v>188</v>
      </c>
      <c r="AM242" t="s">
        <v>170</v>
      </c>
      <c r="AN242" t="s">
        <v>189</v>
      </c>
      <c r="AO242" t="s">
        <v>3810</v>
      </c>
      <c r="AP242" t="s">
        <v>74</v>
      </c>
      <c r="AQ242" t="s">
        <v>74</v>
      </c>
      <c r="AR242" t="s">
        <v>3811</v>
      </c>
      <c r="AS242" t="s">
        <v>3812</v>
      </c>
      <c r="AT242" t="s">
        <v>3121</v>
      </c>
      <c r="AU242">
        <v>2003</v>
      </c>
      <c r="AV242">
        <v>69</v>
      </c>
      <c r="AW242" t="s">
        <v>74</v>
      </c>
      <c r="AX242">
        <v>3</v>
      </c>
      <c r="AY242" t="s">
        <v>74</v>
      </c>
      <c r="AZ242" t="s">
        <v>74</v>
      </c>
      <c r="BA242" t="s">
        <v>74</v>
      </c>
      <c r="BB242">
        <v>290</v>
      </c>
      <c r="BC242">
        <v>293</v>
      </c>
      <c r="BD242" t="s">
        <v>74</v>
      </c>
      <c r="BE242" t="s">
        <v>3813</v>
      </c>
      <c r="BF242" t="str">
        <f>HYPERLINK("http://dx.doi.org/10.1093/mollus/69.3.290","http://dx.doi.org/10.1093/mollus/69.3.290")</f>
        <v>http://dx.doi.org/10.1093/mollus/69.3.290</v>
      </c>
      <c r="BG242" t="s">
        <v>74</v>
      </c>
      <c r="BH242" t="s">
        <v>74</v>
      </c>
      <c r="BI242">
        <v>4</v>
      </c>
      <c r="BJ242" t="s">
        <v>3814</v>
      </c>
      <c r="BK242" t="s">
        <v>94</v>
      </c>
      <c r="BL242" t="s">
        <v>3814</v>
      </c>
      <c r="BM242" t="s">
        <v>3815</v>
      </c>
      <c r="BN242" t="s">
        <v>74</v>
      </c>
      <c r="BO242" t="s">
        <v>96</v>
      </c>
      <c r="BP242" t="s">
        <v>74</v>
      </c>
      <c r="BQ242" t="s">
        <v>74</v>
      </c>
      <c r="BR242" t="s">
        <v>97</v>
      </c>
      <c r="BS242" t="s">
        <v>3816</v>
      </c>
      <c r="BT242" t="str">
        <f>HYPERLINK("https%3A%2F%2Fwww.webofscience.com%2Fwos%2Fwoscc%2Ffull-record%2FWOS:000184533000013","View Full Record in Web of Science")</f>
        <v>View Full Record in Web of Science</v>
      </c>
    </row>
    <row r="243" spans="1:72" x14ac:dyDescent="0.15">
      <c r="A243" t="s">
        <v>72</v>
      </c>
      <c r="B243" t="s">
        <v>3817</v>
      </c>
      <c r="C243" t="s">
        <v>74</v>
      </c>
      <c r="D243" t="s">
        <v>74</v>
      </c>
      <c r="E243" t="s">
        <v>74</v>
      </c>
      <c r="F243" t="s">
        <v>3817</v>
      </c>
      <c r="G243" t="s">
        <v>74</v>
      </c>
      <c r="H243" t="s">
        <v>74</v>
      </c>
      <c r="I243" t="s">
        <v>3818</v>
      </c>
      <c r="J243" t="s">
        <v>3819</v>
      </c>
      <c r="K243" t="s">
        <v>74</v>
      </c>
      <c r="L243" t="s">
        <v>74</v>
      </c>
      <c r="M243" t="s">
        <v>77</v>
      </c>
      <c r="N243" t="s">
        <v>78</v>
      </c>
      <c r="O243" t="s">
        <v>74</v>
      </c>
      <c r="P243" t="s">
        <v>74</v>
      </c>
      <c r="Q243" t="s">
        <v>74</v>
      </c>
      <c r="R243" t="s">
        <v>74</v>
      </c>
      <c r="S243" t="s">
        <v>74</v>
      </c>
      <c r="T243" t="s">
        <v>3820</v>
      </c>
      <c r="U243" t="s">
        <v>74</v>
      </c>
      <c r="V243" t="s">
        <v>3821</v>
      </c>
      <c r="W243" t="s">
        <v>3822</v>
      </c>
      <c r="X243" t="s">
        <v>457</v>
      </c>
      <c r="Y243" t="s">
        <v>3823</v>
      </c>
      <c r="Z243" t="s">
        <v>74</v>
      </c>
      <c r="AA243" t="s">
        <v>74</v>
      </c>
      <c r="AB243" t="s">
        <v>74</v>
      </c>
      <c r="AC243" t="s">
        <v>74</v>
      </c>
      <c r="AD243" t="s">
        <v>74</v>
      </c>
      <c r="AE243" t="s">
        <v>74</v>
      </c>
      <c r="AF243" t="s">
        <v>74</v>
      </c>
      <c r="AG243">
        <v>41</v>
      </c>
      <c r="AH243">
        <v>8</v>
      </c>
      <c r="AI243">
        <v>10</v>
      </c>
      <c r="AJ243">
        <v>0</v>
      </c>
      <c r="AK243">
        <v>0</v>
      </c>
      <c r="AL243" t="s">
        <v>1651</v>
      </c>
      <c r="AM243" t="s">
        <v>1652</v>
      </c>
      <c r="AN243" t="s">
        <v>1653</v>
      </c>
      <c r="AO243" t="s">
        <v>3824</v>
      </c>
      <c r="AP243" t="s">
        <v>74</v>
      </c>
      <c r="AQ243" t="s">
        <v>74</v>
      </c>
      <c r="AR243" t="s">
        <v>3825</v>
      </c>
      <c r="AS243" t="s">
        <v>3826</v>
      </c>
      <c r="AT243" t="s">
        <v>3121</v>
      </c>
      <c r="AU243">
        <v>2003</v>
      </c>
      <c r="AV243">
        <v>37</v>
      </c>
      <c r="AW243">
        <v>15</v>
      </c>
      <c r="AX243" t="s">
        <v>74</v>
      </c>
      <c r="AY243" t="s">
        <v>74</v>
      </c>
      <c r="AZ243" t="s">
        <v>74</v>
      </c>
      <c r="BA243" t="s">
        <v>74</v>
      </c>
      <c r="BB243">
        <v>1805</v>
      </c>
      <c r="BC243">
        <v>1846</v>
      </c>
      <c r="BD243" t="s">
        <v>74</v>
      </c>
      <c r="BE243" t="s">
        <v>3827</v>
      </c>
      <c r="BF243" t="str">
        <f>HYPERLINK("http://dx.doi.org/10.1080/00222930210133273","http://dx.doi.org/10.1080/00222930210133273")</f>
        <v>http://dx.doi.org/10.1080/00222930210133273</v>
      </c>
      <c r="BG243" t="s">
        <v>74</v>
      </c>
      <c r="BH243" t="s">
        <v>74</v>
      </c>
      <c r="BI243">
        <v>42</v>
      </c>
      <c r="BJ243" t="s">
        <v>3828</v>
      </c>
      <c r="BK243" t="s">
        <v>94</v>
      </c>
      <c r="BL243" t="s">
        <v>3829</v>
      </c>
      <c r="BM243" t="s">
        <v>3830</v>
      </c>
      <c r="BN243" t="s">
        <v>74</v>
      </c>
      <c r="BO243" t="s">
        <v>74</v>
      </c>
      <c r="BP243" t="s">
        <v>74</v>
      </c>
      <c r="BQ243" t="s">
        <v>74</v>
      </c>
      <c r="BR243" t="s">
        <v>97</v>
      </c>
      <c r="BS243" t="s">
        <v>3831</v>
      </c>
      <c r="BT243" t="str">
        <f>HYPERLINK("https%3A%2F%2Fwww.webofscience.com%2Fwos%2Fwoscc%2Ffull-record%2FWOS:000183336600003","View Full Record in Web of Science")</f>
        <v>View Full Record in Web of Science</v>
      </c>
    </row>
    <row r="244" spans="1:72" x14ac:dyDescent="0.15">
      <c r="A244" t="s">
        <v>72</v>
      </c>
      <c r="B244" t="s">
        <v>3832</v>
      </c>
      <c r="C244" t="s">
        <v>74</v>
      </c>
      <c r="D244" t="s">
        <v>74</v>
      </c>
      <c r="E244" t="s">
        <v>74</v>
      </c>
      <c r="F244" t="s">
        <v>3832</v>
      </c>
      <c r="G244" t="s">
        <v>74</v>
      </c>
      <c r="H244" t="s">
        <v>74</v>
      </c>
      <c r="I244" t="s">
        <v>3833</v>
      </c>
      <c r="J244" t="s">
        <v>3834</v>
      </c>
      <c r="K244" t="s">
        <v>74</v>
      </c>
      <c r="L244" t="s">
        <v>74</v>
      </c>
      <c r="M244" t="s">
        <v>77</v>
      </c>
      <c r="N244" t="s">
        <v>78</v>
      </c>
      <c r="O244" t="s">
        <v>74</v>
      </c>
      <c r="P244" t="s">
        <v>74</v>
      </c>
      <c r="Q244" t="s">
        <v>74</v>
      </c>
      <c r="R244" t="s">
        <v>74</v>
      </c>
      <c r="S244" t="s">
        <v>74</v>
      </c>
      <c r="T244" t="s">
        <v>3835</v>
      </c>
      <c r="U244" t="s">
        <v>3836</v>
      </c>
      <c r="V244" t="s">
        <v>3837</v>
      </c>
      <c r="W244" t="s">
        <v>3838</v>
      </c>
      <c r="X244" t="s">
        <v>3839</v>
      </c>
      <c r="Y244" t="s">
        <v>3840</v>
      </c>
      <c r="Z244" t="s">
        <v>3841</v>
      </c>
      <c r="AA244" t="s">
        <v>3842</v>
      </c>
      <c r="AB244" t="s">
        <v>3843</v>
      </c>
      <c r="AC244" t="s">
        <v>74</v>
      </c>
      <c r="AD244" t="s">
        <v>74</v>
      </c>
      <c r="AE244" t="s">
        <v>74</v>
      </c>
      <c r="AF244" t="s">
        <v>74</v>
      </c>
      <c r="AG244">
        <v>87</v>
      </c>
      <c r="AH244">
        <v>60</v>
      </c>
      <c r="AI244">
        <v>63</v>
      </c>
      <c r="AJ244">
        <v>2</v>
      </c>
      <c r="AK244">
        <v>27</v>
      </c>
      <c r="AL244" t="s">
        <v>207</v>
      </c>
      <c r="AM244" t="s">
        <v>208</v>
      </c>
      <c r="AN244" t="s">
        <v>209</v>
      </c>
      <c r="AO244" t="s">
        <v>3844</v>
      </c>
      <c r="AP244" t="s">
        <v>3845</v>
      </c>
      <c r="AQ244" t="s">
        <v>74</v>
      </c>
      <c r="AR244" t="s">
        <v>3846</v>
      </c>
      <c r="AS244" t="s">
        <v>3847</v>
      </c>
      <c r="AT244" t="s">
        <v>3121</v>
      </c>
      <c r="AU244">
        <v>2003</v>
      </c>
      <c r="AV244">
        <v>30</v>
      </c>
      <c r="AW244">
        <v>2</v>
      </c>
      <c r="AX244" t="s">
        <v>74</v>
      </c>
      <c r="AY244" t="s">
        <v>74</v>
      </c>
      <c r="AZ244" t="s">
        <v>74</v>
      </c>
      <c r="BA244" t="s">
        <v>74</v>
      </c>
      <c r="BB244">
        <v>195</v>
      </c>
      <c r="BC244">
        <v>215</v>
      </c>
      <c r="BD244" t="s">
        <v>74</v>
      </c>
      <c r="BE244" t="s">
        <v>3848</v>
      </c>
      <c r="BF244" t="str">
        <f>HYPERLINK("http://dx.doi.org/10.1023/A:1025570904093","http://dx.doi.org/10.1023/A:1025570904093")</f>
        <v>http://dx.doi.org/10.1023/A:1025570904093</v>
      </c>
      <c r="BG244" t="s">
        <v>74</v>
      </c>
      <c r="BH244" t="s">
        <v>74</v>
      </c>
      <c r="BI244">
        <v>21</v>
      </c>
      <c r="BJ244" t="s">
        <v>3849</v>
      </c>
      <c r="BK244" t="s">
        <v>94</v>
      </c>
      <c r="BL244" t="s">
        <v>3850</v>
      </c>
      <c r="BM244" t="s">
        <v>3851</v>
      </c>
      <c r="BN244" t="s">
        <v>74</v>
      </c>
      <c r="BO244" t="s">
        <v>74</v>
      </c>
      <c r="BP244" t="s">
        <v>74</v>
      </c>
      <c r="BQ244" t="s">
        <v>74</v>
      </c>
      <c r="BR244" t="s">
        <v>97</v>
      </c>
      <c r="BS244" t="s">
        <v>3852</v>
      </c>
      <c r="BT244" t="str">
        <f>HYPERLINK("https%3A%2F%2Fwww.webofscience.com%2Fwos%2Fwoscc%2Ffull-record%2FWOS:000185126300008","View Full Record in Web of Science")</f>
        <v>View Full Record in Web of Science</v>
      </c>
    </row>
    <row r="245" spans="1:72" x14ac:dyDescent="0.15">
      <c r="A245" t="s">
        <v>72</v>
      </c>
      <c r="B245" t="s">
        <v>3853</v>
      </c>
      <c r="C245" t="s">
        <v>74</v>
      </c>
      <c r="D245" t="s">
        <v>74</v>
      </c>
      <c r="E245" t="s">
        <v>74</v>
      </c>
      <c r="F245" t="s">
        <v>3853</v>
      </c>
      <c r="G245" t="s">
        <v>74</v>
      </c>
      <c r="H245" t="s">
        <v>74</v>
      </c>
      <c r="I245" t="s">
        <v>3854</v>
      </c>
      <c r="J245" t="s">
        <v>3855</v>
      </c>
      <c r="K245" t="s">
        <v>74</v>
      </c>
      <c r="L245" t="s">
        <v>74</v>
      </c>
      <c r="M245" t="s">
        <v>77</v>
      </c>
      <c r="N245" t="s">
        <v>78</v>
      </c>
      <c r="O245" t="s">
        <v>74</v>
      </c>
      <c r="P245" t="s">
        <v>74</v>
      </c>
      <c r="Q245" t="s">
        <v>74</v>
      </c>
      <c r="R245" t="s">
        <v>74</v>
      </c>
      <c r="S245" t="s">
        <v>74</v>
      </c>
      <c r="T245" t="s">
        <v>3856</v>
      </c>
      <c r="U245" t="s">
        <v>3857</v>
      </c>
      <c r="V245" t="s">
        <v>3858</v>
      </c>
      <c r="W245" t="s">
        <v>3859</v>
      </c>
      <c r="X245" t="s">
        <v>3860</v>
      </c>
      <c r="Y245" t="s">
        <v>3861</v>
      </c>
      <c r="Z245" t="s">
        <v>74</v>
      </c>
      <c r="AA245" t="s">
        <v>74</v>
      </c>
      <c r="AB245" t="s">
        <v>74</v>
      </c>
      <c r="AC245" t="s">
        <v>74</v>
      </c>
      <c r="AD245" t="s">
        <v>74</v>
      </c>
      <c r="AE245" t="s">
        <v>74</v>
      </c>
      <c r="AF245" t="s">
        <v>74</v>
      </c>
      <c r="AG245">
        <v>37</v>
      </c>
      <c r="AH245">
        <v>70</v>
      </c>
      <c r="AI245">
        <v>82</v>
      </c>
      <c r="AJ245">
        <v>0</v>
      </c>
      <c r="AK245">
        <v>36</v>
      </c>
      <c r="AL245" t="s">
        <v>3862</v>
      </c>
      <c r="AM245" t="s">
        <v>3863</v>
      </c>
      <c r="AN245" t="s">
        <v>3864</v>
      </c>
      <c r="AO245" t="s">
        <v>3865</v>
      </c>
      <c r="AP245" t="s">
        <v>74</v>
      </c>
      <c r="AQ245" t="s">
        <v>74</v>
      </c>
      <c r="AR245" t="s">
        <v>3866</v>
      </c>
      <c r="AS245" t="s">
        <v>3867</v>
      </c>
      <c r="AT245" t="s">
        <v>3121</v>
      </c>
      <c r="AU245">
        <v>2003</v>
      </c>
      <c r="AV245">
        <v>39</v>
      </c>
      <c r="AW245">
        <v>4</v>
      </c>
      <c r="AX245" t="s">
        <v>74</v>
      </c>
      <c r="AY245" t="s">
        <v>74</v>
      </c>
      <c r="AZ245" t="s">
        <v>74</v>
      </c>
      <c r="BA245" t="s">
        <v>74</v>
      </c>
      <c r="BB245">
        <v>644</v>
      </c>
      <c r="BC245">
        <v>649</v>
      </c>
      <c r="BD245" t="s">
        <v>74</v>
      </c>
      <c r="BE245" t="s">
        <v>3868</v>
      </c>
      <c r="BF245" t="str">
        <f>HYPERLINK("http://dx.doi.org/10.1046/j.1529-8817.2003.02152.x","http://dx.doi.org/10.1046/j.1529-8817.2003.02152.x")</f>
        <v>http://dx.doi.org/10.1046/j.1529-8817.2003.02152.x</v>
      </c>
      <c r="BG245" t="s">
        <v>74</v>
      </c>
      <c r="BH245" t="s">
        <v>74</v>
      </c>
      <c r="BI245">
        <v>6</v>
      </c>
      <c r="BJ245" t="s">
        <v>3869</v>
      </c>
      <c r="BK245" t="s">
        <v>94</v>
      </c>
      <c r="BL245" t="s">
        <v>3869</v>
      </c>
      <c r="BM245" t="s">
        <v>3870</v>
      </c>
      <c r="BN245" t="s">
        <v>74</v>
      </c>
      <c r="BO245" t="s">
        <v>74</v>
      </c>
      <c r="BP245" t="s">
        <v>74</v>
      </c>
      <c r="BQ245" t="s">
        <v>74</v>
      </c>
      <c r="BR245" t="s">
        <v>97</v>
      </c>
      <c r="BS245" t="s">
        <v>3871</v>
      </c>
      <c r="BT245" t="str">
        <f>HYPERLINK("https%3A%2F%2Fwww.webofscience.com%2Fwos%2Fwoscc%2Ffull-record%2FWOS:000184451100003","View Full Record in Web of Science")</f>
        <v>View Full Record in Web of Science</v>
      </c>
    </row>
    <row r="246" spans="1:72" x14ac:dyDescent="0.15">
      <c r="A246" t="s">
        <v>72</v>
      </c>
      <c r="B246" t="s">
        <v>3872</v>
      </c>
      <c r="C246" t="s">
        <v>74</v>
      </c>
      <c r="D246" t="s">
        <v>74</v>
      </c>
      <c r="E246" t="s">
        <v>74</v>
      </c>
      <c r="F246" t="s">
        <v>3872</v>
      </c>
      <c r="G246" t="s">
        <v>74</v>
      </c>
      <c r="H246" t="s">
        <v>74</v>
      </c>
      <c r="I246" t="s">
        <v>3873</v>
      </c>
      <c r="J246" t="s">
        <v>3874</v>
      </c>
      <c r="K246" t="s">
        <v>74</v>
      </c>
      <c r="L246" t="s">
        <v>74</v>
      </c>
      <c r="M246" t="s">
        <v>77</v>
      </c>
      <c r="N246" t="s">
        <v>78</v>
      </c>
      <c r="O246" t="s">
        <v>74</v>
      </c>
      <c r="P246" t="s">
        <v>74</v>
      </c>
      <c r="Q246" t="s">
        <v>74</v>
      </c>
      <c r="R246" t="s">
        <v>74</v>
      </c>
      <c r="S246" t="s">
        <v>74</v>
      </c>
      <c r="T246" t="s">
        <v>74</v>
      </c>
      <c r="U246" t="s">
        <v>3875</v>
      </c>
      <c r="V246" t="s">
        <v>3876</v>
      </c>
      <c r="W246" t="s">
        <v>959</v>
      </c>
      <c r="X246" t="s">
        <v>960</v>
      </c>
      <c r="Y246" t="s">
        <v>3877</v>
      </c>
      <c r="Z246" t="s">
        <v>74</v>
      </c>
      <c r="AA246" t="s">
        <v>74</v>
      </c>
      <c r="AB246" t="s">
        <v>2685</v>
      </c>
      <c r="AC246" t="s">
        <v>74</v>
      </c>
      <c r="AD246" t="s">
        <v>74</v>
      </c>
      <c r="AE246" t="s">
        <v>74</v>
      </c>
      <c r="AF246" t="s">
        <v>74</v>
      </c>
      <c r="AG246">
        <v>14</v>
      </c>
      <c r="AH246">
        <v>44</v>
      </c>
      <c r="AI246">
        <v>47</v>
      </c>
      <c r="AJ246">
        <v>0</v>
      </c>
      <c r="AK246">
        <v>7</v>
      </c>
      <c r="AL246" t="s">
        <v>85</v>
      </c>
      <c r="AM246" t="s">
        <v>86</v>
      </c>
      <c r="AN246" t="s">
        <v>87</v>
      </c>
      <c r="AO246" t="s">
        <v>3878</v>
      </c>
      <c r="AP246" t="s">
        <v>74</v>
      </c>
      <c r="AQ246" t="s">
        <v>74</v>
      </c>
      <c r="AR246" t="s">
        <v>3879</v>
      </c>
      <c r="AS246" t="s">
        <v>3880</v>
      </c>
      <c r="AT246" t="s">
        <v>3121</v>
      </c>
      <c r="AU246">
        <v>2003</v>
      </c>
      <c r="AV246">
        <v>33</v>
      </c>
      <c r="AW246">
        <v>8</v>
      </c>
      <c r="AX246" t="s">
        <v>74</v>
      </c>
      <c r="AY246" t="s">
        <v>74</v>
      </c>
      <c r="AZ246" t="s">
        <v>74</v>
      </c>
      <c r="BA246" t="s">
        <v>74</v>
      </c>
      <c r="BB246">
        <v>1870</v>
      </c>
      <c r="BC246">
        <v>1872</v>
      </c>
      <c r="BD246" t="s">
        <v>74</v>
      </c>
      <c r="BE246" t="s">
        <v>3881</v>
      </c>
      <c r="BF246" t="str">
        <f>HYPERLINK("http://dx.doi.org/10.1175/1520-0485(2003)033&lt;1870:EOSMOO&gt;2.0.CO;2","http://dx.doi.org/10.1175/1520-0485(2003)033&lt;1870:EOSMOO&gt;2.0.CO;2")</f>
        <v>http://dx.doi.org/10.1175/1520-0485(2003)033&lt;1870:EOSMOO&gt;2.0.CO;2</v>
      </c>
      <c r="BG246" t="s">
        <v>74</v>
      </c>
      <c r="BH246" t="s">
        <v>74</v>
      </c>
      <c r="BI246">
        <v>3</v>
      </c>
      <c r="BJ246" t="s">
        <v>678</v>
      </c>
      <c r="BK246" t="s">
        <v>94</v>
      </c>
      <c r="BL246" t="s">
        <v>678</v>
      </c>
      <c r="BM246" t="s">
        <v>3882</v>
      </c>
      <c r="BN246" t="s">
        <v>74</v>
      </c>
      <c r="BO246" t="s">
        <v>759</v>
      </c>
      <c r="BP246" t="s">
        <v>74</v>
      </c>
      <c r="BQ246" t="s">
        <v>74</v>
      </c>
      <c r="BR246" t="s">
        <v>97</v>
      </c>
      <c r="BS246" t="s">
        <v>3883</v>
      </c>
      <c r="BT246" t="str">
        <f>HYPERLINK("https%3A%2F%2Fwww.webofscience.com%2Fwos%2Fwoscc%2Ffull-record%2FWOS:000184753400020","View Full Record in Web of Science")</f>
        <v>View Full Record in Web of Science</v>
      </c>
    </row>
    <row r="247" spans="1:72" x14ac:dyDescent="0.15">
      <c r="A247" t="s">
        <v>72</v>
      </c>
      <c r="B247" t="s">
        <v>3884</v>
      </c>
      <c r="C247" t="s">
        <v>74</v>
      </c>
      <c r="D247" t="s">
        <v>74</v>
      </c>
      <c r="E247" t="s">
        <v>74</v>
      </c>
      <c r="F247" t="s">
        <v>3884</v>
      </c>
      <c r="G247" t="s">
        <v>74</v>
      </c>
      <c r="H247" t="s">
        <v>74</v>
      </c>
      <c r="I247" t="s">
        <v>3885</v>
      </c>
      <c r="J247" t="s">
        <v>182</v>
      </c>
      <c r="K247" t="s">
        <v>74</v>
      </c>
      <c r="L247" t="s">
        <v>74</v>
      </c>
      <c r="M247" t="s">
        <v>77</v>
      </c>
      <c r="N247" t="s">
        <v>78</v>
      </c>
      <c r="O247" t="s">
        <v>74</v>
      </c>
      <c r="P247" t="s">
        <v>74</v>
      </c>
      <c r="Q247" t="s">
        <v>74</v>
      </c>
      <c r="R247" t="s">
        <v>74</v>
      </c>
      <c r="S247" t="s">
        <v>74</v>
      </c>
      <c r="T247" t="s">
        <v>74</v>
      </c>
      <c r="U247" t="s">
        <v>3886</v>
      </c>
      <c r="V247" t="s">
        <v>3887</v>
      </c>
      <c r="W247" t="s">
        <v>3888</v>
      </c>
      <c r="X247" t="s">
        <v>3889</v>
      </c>
      <c r="Y247" t="s">
        <v>3890</v>
      </c>
      <c r="Z247" t="s">
        <v>3891</v>
      </c>
      <c r="AA247" t="s">
        <v>74</v>
      </c>
      <c r="AB247" t="s">
        <v>74</v>
      </c>
      <c r="AC247" t="s">
        <v>74</v>
      </c>
      <c r="AD247" t="s">
        <v>74</v>
      </c>
      <c r="AE247" t="s">
        <v>74</v>
      </c>
      <c r="AF247" t="s">
        <v>74</v>
      </c>
      <c r="AG247">
        <v>43</v>
      </c>
      <c r="AH247">
        <v>13</v>
      </c>
      <c r="AI247">
        <v>13</v>
      </c>
      <c r="AJ247">
        <v>0</v>
      </c>
      <c r="AK247">
        <v>7</v>
      </c>
      <c r="AL247" t="s">
        <v>188</v>
      </c>
      <c r="AM247" t="s">
        <v>170</v>
      </c>
      <c r="AN247" t="s">
        <v>189</v>
      </c>
      <c r="AO247" t="s">
        <v>190</v>
      </c>
      <c r="AP247" t="s">
        <v>2106</v>
      </c>
      <c r="AQ247" t="s">
        <v>74</v>
      </c>
      <c r="AR247" t="s">
        <v>191</v>
      </c>
      <c r="AS247" t="s">
        <v>192</v>
      </c>
      <c r="AT247" t="s">
        <v>3121</v>
      </c>
      <c r="AU247">
        <v>2003</v>
      </c>
      <c r="AV247">
        <v>25</v>
      </c>
      <c r="AW247">
        <v>8</v>
      </c>
      <c r="AX247" t="s">
        <v>74</v>
      </c>
      <c r="AY247" t="s">
        <v>74</v>
      </c>
      <c r="AZ247" t="s">
        <v>74</v>
      </c>
      <c r="BA247" t="s">
        <v>74</v>
      </c>
      <c r="BB247">
        <v>885</v>
      </c>
      <c r="BC247">
        <v>904</v>
      </c>
      <c r="BD247" t="s">
        <v>74</v>
      </c>
      <c r="BE247" t="s">
        <v>3892</v>
      </c>
      <c r="BF247" t="str">
        <f>HYPERLINK("http://dx.doi.org/10.1093/plankt/25.8.885","http://dx.doi.org/10.1093/plankt/25.8.885")</f>
        <v>http://dx.doi.org/10.1093/plankt/25.8.885</v>
      </c>
      <c r="BG247" t="s">
        <v>74</v>
      </c>
      <c r="BH247" t="s">
        <v>74</v>
      </c>
      <c r="BI247">
        <v>20</v>
      </c>
      <c r="BJ247" t="s">
        <v>194</v>
      </c>
      <c r="BK247" t="s">
        <v>94</v>
      </c>
      <c r="BL247" t="s">
        <v>194</v>
      </c>
      <c r="BM247" t="s">
        <v>3893</v>
      </c>
      <c r="BN247" t="s">
        <v>74</v>
      </c>
      <c r="BO247" t="s">
        <v>96</v>
      </c>
      <c r="BP247" t="s">
        <v>74</v>
      </c>
      <c r="BQ247" t="s">
        <v>74</v>
      </c>
      <c r="BR247" t="s">
        <v>97</v>
      </c>
      <c r="BS247" t="s">
        <v>3894</v>
      </c>
      <c r="BT247" t="str">
        <f>HYPERLINK("https%3A%2F%2Fwww.webofscience.com%2Fwos%2Fwoscc%2Ffull-record%2FWOS:000184532300002","View Full Record in Web of Science")</f>
        <v>View Full Record in Web of Science</v>
      </c>
    </row>
    <row r="248" spans="1:72" x14ac:dyDescent="0.15">
      <c r="A248" t="s">
        <v>72</v>
      </c>
      <c r="B248" t="s">
        <v>3895</v>
      </c>
      <c r="C248" t="s">
        <v>74</v>
      </c>
      <c r="D248" t="s">
        <v>74</v>
      </c>
      <c r="E248" t="s">
        <v>74</v>
      </c>
      <c r="F248" t="s">
        <v>3895</v>
      </c>
      <c r="G248" t="s">
        <v>74</v>
      </c>
      <c r="H248" t="s">
        <v>74</v>
      </c>
      <c r="I248" t="s">
        <v>3896</v>
      </c>
      <c r="J248" t="s">
        <v>3897</v>
      </c>
      <c r="K248" t="s">
        <v>74</v>
      </c>
      <c r="L248" t="s">
        <v>74</v>
      </c>
      <c r="M248" t="s">
        <v>77</v>
      </c>
      <c r="N248" t="s">
        <v>78</v>
      </c>
      <c r="O248" t="s">
        <v>74</v>
      </c>
      <c r="P248" t="s">
        <v>74</v>
      </c>
      <c r="Q248" t="s">
        <v>74</v>
      </c>
      <c r="R248" t="s">
        <v>74</v>
      </c>
      <c r="S248" t="s">
        <v>74</v>
      </c>
      <c r="T248" t="s">
        <v>3898</v>
      </c>
      <c r="U248" t="s">
        <v>3899</v>
      </c>
      <c r="V248" t="s">
        <v>3900</v>
      </c>
      <c r="W248" t="s">
        <v>3901</v>
      </c>
      <c r="X248" t="s">
        <v>3902</v>
      </c>
      <c r="Y248" t="s">
        <v>74</v>
      </c>
      <c r="Z248" t="s">
        <v>3903</v>
      </c>
      <c r="AA248" t="s">
        <v>3904</v>
      </c>
      <c r="AB248" t="s">
        <v>3905</v>
      </c>
      <c r="AC248" t="s">
        <v>74</v>
      </c>
      <c r="AD248" t="s">
        <v>74</v>
      </c>
      <c r="AE248" t="s">
        <v>74</v>
      </c>
      <c r="AF248" t="s">
        <v>74</v>
      </c>
      <c r="AG248">
        <v>45</v>
      </c>
      <c r="AH248">
        <v>33</v>
      </c>
      <c r="AI248">
        <v>33</v>
      </c>
      <c r="AJ248">
        <v>0</v>
      </c>
      <c r="AK248">
        <v>6</v>
      </c>
      <c r="AL248" t="s">
        <v>169</v>
      </c>
      <c r="AM248" t="s">
        <v>170</v>
      </c>
      <c r="AN248" t="s">
        <v>171</v>
      </c>
      <c r="AO248" t="s">
        <v>3906</v>
      </c>
      <c r="AP248" t="s">
        <v>74</v>
      </c>
      <c r="AQ248" t="s">
        <v>74</v>
      </c>
      <c r="AR248" t="s">
        <v>3907</v>
      </c>
      <c r="AS248" t="s">
        <v>3908</v>
      </c>
      <c r="AT248" t="s">
        <v>3121</v>
      </c>
      <c r="AU248">
        <v>2003</v>
      </c>
      <c r="AV248">
        <v>16</v>
      </c>
      <c r="AW248">
        <v>4</v>
      </c>
      <c r="AX248" t="s">
        <v>74</v>
      </c>
      <c r="AY248" t="s">
        <v>74</v>
      </c>
      <c r="AZ248" t="s">
        <v>74</v>
      </c>
      <c r="BA248" t="s">
        <v>74</v>
      </c>
      <c r="BB248">
        <v>179</v>
      </c>
      <c r="BC248">
        <v>191</v>
      </c>
      <c r="BD248" t="s">
        <v>74</v>
      </c>
      <c r="BE248" t="s">
        <v>3909</v>
      </c>
      <c r="BF248" t="str">
        <f>HYPERLINK("http://dx.doi.org/10.1016/S0895-9811(03)00064-6","http://dx.doi.org/10.1016/S0895-9811(03)00064-6")</f>
        <v>http://dx.doi.org/10.1016/S0895-9811(03)00064-6</v>
      </c>
      <c r="BG248" t="s">
        <v>74</v>
      </c>
      <c r="BH248" t="s">
        <v>74</v>
      </c>
      <c r="BI248">
        <v>13</v>
      </c>
      <c r="BJ248" t="s">
        <v>548</v>
      </c>
      <c r="BK248" t="s">
        <v>94</v>
      </c>
      <c r="BL248" t="s">
        <v>549</v>
      </c>
      <c r="BM248" t="s">
        <v>3910</v>
      </c>
      <c r="BN248" t="s">
        <v>74</v>
      </c>
      <c r="BO248" t="s">
        <v>74</v>
      </c>
      <c r="BP248" t="s">
        <v>74</v>
      </c>
      <c r="BQ248" t="s">
        <v>74</v>
      </c>
      <c r="BR248" t="s">
        <v>97</v>
      </c>
      <c r="BS248" t="s">
        <v>3911</v>
      </c>
      <c r="BT248" t="str">
        <f>HYPERLINK("https%3A%2F%2Fwww.webofscience.com%2Fwos%2Fwoscc%2Ffull-record%2FWOS:000189111100001","View Full Record in Web of Science")</f>
        <v>View Full Record in Web of Science</v>
      </c>
    </row>
    <row r="249" spans="1:72" x14ac:dyDescent="0.15">
      <c r="A249" t="s">
        <v>72</v>
      </c>
      <c r="B249" t="s">
        <v>3912</v>
      </c>
      <c r="C249" t="s">
        <v>74</v>
      </c>
      <c r="D249" t="s">
        <v>74</v>
      </c>
      <c r="E249" t="s">
        <v>74</v>
      </c>
      <c r="F249" t="s">
        <v>3912</v>
      </c>
      <c r="G249" t="s">
        <v>74</v>
      </c>
      <c r="H249" t="s">
        <v>74</v>
      </c>
      <c r="I249" t="s">
        <v>3913</v>
      </c>
      <c r="J249" t="s">
        <v>221</v>
      </c>
      <c r="K249" t="s">
        <v>74</v>
      </c>
      <c r="L249" t="s">
        <v>74</v>
      </c>
      <c r="M249" t="s">
        <v>77</v>
      </c>
      <c r="N249" t="s">
        <v>78</v>
      </c>
      <c r="O249" t="s">
        <v>74</v>
      </c>
      <c r="P249" t="s">
        <v>74</v>
      </c>
      <c r="Q249" t="s">
        <v>74</v>
      </c>
      <c r="R249" t="s">
        <v>74</v>
      </c>
      <c r="S249" t="s">
        <v>74</v>
      </c>
      <c r="T249" t="s">
        <v>74</v>
      </c>
      <c r="U249" t="s">
        <v>74</v>
      </c>
      <c r="V249" t="s">
        <v>3914</v>
      </c>
      <c r="W249" t="s">
        <v>3915</v>
      </c>
      <c r="X249" t="s">
        <v>3916</v>
      </c>
      <c r="Y249" t="s">
        <v>74</v>
      </c>
      <c r="Z249" t="s">
        <v>3917</v>
      </c>
      <c r="AA249" t="s">
        <v>74</v>
      </c>
      <c r="AB249" t="s">
        <v>74</v>
      </c>
      <c r="AC249" t="s">
        <v>74</v>
      </c>
      <c r="AD249" t="s">
        <v>74</v>
      </c>
      <c r="AE249" t="s">
        <v>74</v>
      </c>
      <c r="AF249" t="s">
        <v>74</v>
      </c>
      <c r="AG249">
        <v>2</v>
      </c>
      <c r="AH249">
        <v>3</v>
      </c>
      <c r="AI249">
        <v>3</v>
      </c>
      <c r="AJ249">
        <v>0</v>
      </c>
      <c r="AK249">
        <v>2</v>
      </c>
      <c r="AL249" t="s">
        <v>228</v>
      </c>
      <c r="AM249" t="s">
        <v>229</v>
      </c>
      <c r="AN249" t="s">
        <v>1170</v>
      </c>
      <c r="AO249" t="s">
        <v>231</v>
      </c>
      <c r="AP249" t="s">
        <v>3918</v>
      </c>
      <c r="AQ249" t="s">
        <v>74</v>
      </c>
      <c r="AR249" t="s">
        <v>232</v>
      </c>
      <c r="AS249" t="s">
        <v>233</v>
      </c>
      <c r="AT249" t="s">
        <v>3121</v>
      </c>
      <c r="AU249">
        <v>2003</v>
      </c>
      <c r="AV249">
        <v>83</v>
      </c>
      <c r="AW249">
        <v>4</v>
      </c>
      <c r="AX249" t="s">
        <v>74</v>
      </c>
      <c r="AY249" t="s">
        <v>74</v>
      </c>
      <c r="AZ249" t="s">
        <v>74</v>
      </c>
      <c r="BA249" t="s">
        <v>74</v>
      </c>
      <c r="BB249">
        <v>785</v>
      </c>
      <c r="BC249">
        <v>788</v>
      </c>
      <c r="BD249" t="s">
        <v>74</v>
      </c>
      <c r="BE249" t="s">
        <v>3919</v>
      </c>
      <c r="BF249" t="str">
        <f>HYPERLINK("http://dx.doi.org/10.1017/S002531540300780Xh","http://dx.doi.org/10.1017/S002531540300780Xh")</f>
        <v>http://dx.doi.org/10.1017/S002531540300780Xh</v>
      </c>
      <c r="BG249" t="s">
        <v>74</v>
      </c>
      <c r="BH249" t="s">
        <v>74</v>
      </c>
      <c r="BI249">
        <v>4</v>
      </c>
      <c r="BJ249" t="s">
        <v>235</v>
      </c>
      <c r="BK249" t="s">
        <v>94</v>
      </c>
      <c r="BL249" t="s">
        <v>235</v>
      </c>
      <c r="BM249" t="s">
        <v>3920</v>
      </c>
      <c r="BN249" t="s">
        <v>74</v>
      </c>
      <c r="BO249" t="s">
        <v>74</v>
      </c>
      <c r="BP249" t="s">
        <v>74</v>
      </c>
      <c r="BQ249" t="s">
        <v>74</v>
      </c>
      <c r="BR249" t="s">
        <v>97</v>
      </c>
      <c r="BS249" t="s">
        <v>3921</v>
      </c>
      <c r="BT249" t="str">
        <f>HYPERLINK("https%3A%2F%2Fwww.webofscience.com%2Fwos%2Fwoscc%2Ffull-record%2FWOS:000185202300018","View Full Record in Web of Science")</f>
        <v>View Full Record in Web of Science</v>
      </c>
    </row>
    <row r="250" spans="1:72" x14ac:dyDescent="0.15">
      <c r="A250" t="s">
        <v>72</v>
      </c>
      <c r="B250" t="s">
        <v>3922</v>
      </c>
      <c r="C250" t="s">
        <v>74</v>
      </c>
      <c r="D250" t="s">
        <v>74</v>
      </c>
      <c r="E250" t="s">
        <v>74</v>
      </c>
      <c r="F250" t="s">
        <v>3922</v>
      </c>
      <c r="G250" t="s">
        <v>74</v>
      </c>
      <c r="H250" t="s">
        <v>74</v>
      </c>
      <c r="I250" t="s">
        <v>3923</v>
      </c>
      <c r="J250" t="s">
        <v>221</v>
      </c>
      <c r="K250" t="s">
        <v>74</v>
      </c>
      <c r="L250" t="s">
        <v>74</v>
      </c>
      <c r="M250" t="s">
        <v>77</v>
      </c>
      <c r="N250" t="s">
        <v>78</v>
      </c>
      <c r="O250" t="s">
        <v>74</v>
      </c>
      <c r="P250" t="s">
        <v>74</v>
      </c>
      <c r="Q250" t="s">
        <v>74</v>
      </c>
      <c r="R250" t="s">
        <v>74</v>
      </c>
      <c r="S250" t="s">
        <v>74</v>
      </c>
      <c r="T250" t="s">
        <v>74</v>
      </c>
      <c r="U250" t="s">
        <v>74</v>
      </c>
      <c r="V250" t="s">
        <v>3924</v>
      </c>
      <c r="W250" t="s">
        <v>3925</v>
      </c>
      <c r="X250" t="s">
        <v>3926</v>
      </c>
      <c r="Y250" t="s">
        <v>3927</v>
      </c>
      <c r="Z250" t="s">
        <v>74</v>
      </c>
      <c r="AA250" t="s">
        <v>3928</v>
      </c>
      <c r="AB250" t="s">
        <v>3929</v>
      </c>
      <c r="AC250" t="s">
        <v>74</v>
      </c>
      <c r="AD250" t="s">
        <v>74</v>
      </c>
      <c r="AE250" t="s">
        <v>74</v>
      </c>
      <c r="AF250" t="s">
        <v>74</v>
      </c>
      <c r="AG250">
        <v>5</v>
      </c>
      <c r="AH250">
        <v>5</v>
      </c>
      <c r="AI250">
        <v>5</v>
      </c>
      <c r="AJ250">
        <v>1</v>
      </c>
      <c r="AK250">
        <v>9</v>
      </c>
      <c r="AL250" t="s">
        <v>228</v>
      </c>
      <c r="AM250" t="s">
        <v>229</v>
      </c>
      <c r="AN250" t="s">
        <v>1129</v>
      </c>
      <c r="AO250" t="s">
        <v>231</v>
      </c>
      <c r="AP250" t="s">
        <v>74</v>
      </c>
      <c r="AQ250" t="s">
        <v>74</v>
      </c>
      <c r="AR250" t="s">
        <v>232</v>
      </c>
      <c r="AS250" t="s">
        <v>233</v>
      </c>
      <c r="AT250" t="s">
        <v>3121</v>
      </c>
      <c r="AU250">
        <v>2003</v>
      </c>
      <c r="AV250">
        <v>83</v>
      </c>
      <c r="AW250">
        <v>4</v>
      </c>
      <c r="AX250" t="s">
        <v>74</v>
      </c>
      <c r="AY250" t="s">
        <v>74</v>
      </c>
      <c r="AZ250" t="s">
        <v>74</v>
      </c>
      <c r="BA250" t="s">
        <v>74</v>
      </c>
      <c r="BB250">
        <v>887</v>
      </c>
      <c r="BC250">
        <v>888</v>
      </c>
      <c r="BD250" t="s">
        <v>74</v>
      </c>
      <c r="BE250" t="s">
        <v>3930</v>
      </c>
      <c r="BF250" t="str">
        <f>HYPERLINK("http://dx.doi.org/10.1017/S0025315403007999h","http://dx.doi.org/10.1017/S0025315403007999h")</f>
        <v>http://dx.doi.org/10.1017/S0025315403007999h</v>
      </c>
      <c r="BG250" t="s">
        <v>74</v>
      </c>
      <c r="BH250" t="s">
        <v>74</v>
      </c>
      <c r="BI250">
        <v>2</v>
      </c>
      <c r="BJ250" t="s">
        <v>235</v>
      </c>
      <c r="BK250" t="s">
        <v>94</v>
      </c>
      <c r="BL250" t="s">
        <v>235</v>
      </c>
      <c r="BM250" t="s">
        <v>3920</v>
      </c>
      <c r="BN250" t="s">
        <v>74</v>
      </c>
      <c r="BO250" t="s">
        <v>74</v>
      </c>
      <c r="BP250" t="s">
        <v>74</v>
      </c>
      <c r="BQ250" t="s">
        <v>74</v>
      </c>
      <c r="BR250" t="s">
        <v>97</v>
      </c>
      <c r="BS250" t="s">
        <v>3931</v>
      </c>
      <c r="BT250" t="str">
        <f>HYPERLINK("https%3A%2F%2Fwww.webofscience.com%2Fwos%2Fwoscc%2Ffull-record%2FWOS:000185202300037","View Full Record in Web of Science")</f>
        <v>View Full Record in Web of Science</v>
      </c>
    </row>
    <row r="251" spans="1:72" x14ac:dyDescent="0.15">
      <c r="A251" t="s">
        <v>72</v>
      </c>
      <c r="B251" t="s">
        <v>3932</v>
      </c>
      <c r="C251" t="s">
        <v>74</v>
      </c>
      <c r="D251" t="s">
        <v>74</v>
      </c>
      <c r="E251" t="s">
        <v>74</v>
      </c>
      <c r="F251" t="s">
        <v>3932</v>
      </c>
      <c r="G251" t="s">
        <v>74</v>
      </c>
      <c r="H251" t="s">
        <v>74</v>
      </c>
      <c r="I251" t="s">
        <v>3933</v>
      </c>
      <c r="J251" t="s">
        <v>3934</v>
      </c>
      <c r="K251" t="s">
        <v>74</v>
      </c>
      <c r="L251" t="s">
        <v>74</v>
      </c>
      <c r="M251" t="s">
        <v>77</v>
      </c>
      <c r="N251" t="s">
        <v>78</v>
      </c>
      <c r="O251" t="s">
        <v>74</v>
      </c>
      <c r="P251" t="s">
        <v>74</v>
      </c>
      <c r="Q251" t="s">
        <v>74</v>
      </c>
      <c r="R251" t="s">
        <v>74</v>
      </c>
      <c r="S251" t="s">
        <v>74</v>
      </c>
      <c r="T251" t="s">
        <v>74</v>
      </c>
      <c r="U251" t="s">
        <v>3935</v>
      </c>
      <c r="V251" t="s">
        <v>3936</v>
      </c>
      <c r="W251" t="s">
        <v>3937</v>
      </c>
      <c r="X251" t="s">
        <v>3938</v>
      </c>
      <c r="Y251" t="s">
        <v>3939</v>
      </c>
      <c r="Z251" t="s">
        <v>74</v>
      </c>
      <c r="AA251" t="s">
        <v>3940</v>
      </c>
      <c r="AB251" t="s">
        <v>3941</v>
      </c>
      <c r="AC251" t="s">
        <v>74</v>
      </c>
      <c r="AD251" t="s">
        <v>74</v>
      </c>
      <c r="AE251" t="s">
        <v>74</v>
      </c>
      <c r="AF251" t="s">
        <v>74</v>
      </c>
      <c r="AG251">
        <v>28</v>
      </c>
      <c r="AH251">
        <v>3</v>
      </c>
      <c r="AI251">
        <v>4</v>
      </c>
      <c r="AJ251">
        <v>0</v>
      </c>
      <c r="AK251">
        <v>1</v>
      </c>
      <c r="AL251" t="s">
        <v>3942</v>
      </c>
      <c r="AM251" t="s">
        <v>520</v>
      </c>
      <c r="AN251" t="s">
        <v>3943</v>
      </c>
      <c r="AO251" t="s">
        <v>3944</v>
      </c>
      <c r="AP251" t="s">
        <v>74</v>
      </c>
      <c r="AQ251" t="s">
        <v>74</v>
      </c>
      <c r="AR251" t="s">
        <v>3945</v>
      </c>
      <c r="AS251" t="s">
        <v>3946</v>
      </c>
      <c r="AT251" t="s">
        <v>3121</v>
      </c>
      <c r="AU251">
        <v>2003</v>
      </c>
      <c r="AV251">
        <v>81</v>
      </c>
      <c r="AW251">
        <v>4</v>
      </c>
      <c r="AX251" t="s">
        <v>74</v>
      </c>
      <c r="AY251" t="s">
        <v>74</v>
      </c>
      <c r="AZ251" t="s">
        <v>74</v>
      </c>
      <c r="BA251" t="s">
        <v>74</v>
      </c>
      <c r="BB251">
        <v>747</v>
      </c>
      <c r="BC251">
        <v>757</v>
      </c>
      <c r="BD251" t="s">
        <v>74</v>
      </c>
      <c r="BE251" t="s">
        <v>3947</v>
      </c>
      <c r="BF251" t="str">
        <f>HYPERLINK("http://dx.doi.org/10.2151/jmsj.81.747","http://dx.doi.org/10.2151/jmsj.81.747")</f>
        <v>http://dx.doi.org/10.2151/jmsj.81.747</v>
      </c>
      <c r="BG251" t="s">
        <v>74</v>
      </c>
      <c r="BH251" t="s">
        <v>74</v>
      </c>
      <c r="BI251">
        <v>11</v>
      </c>
      <c r="BJ251" t="s">
        <v>93</v>
      </c>
      <c r="BK251" t="s">
        <v>94</v>
      </c>
      <c r="BL251" t="s">
        <v>93</v>
      </c>
      <c r="BM251" t="s">
        <v>3948</v>
      </c>
      <c r="BN251" t="s">
        <v>74</v>
      </c>
      <c r="BO251" t="s">
        <v>96</v>
      </c>
      <c r="BP251" t="s">
        <v>74</v>
      </c>
      <c r="BQ251" t="s">
        <v>74</v>
      </c>
      <c r="BR251" t="s">
        <v>97</v>
      </c>
      <c r="BS251" t="s">
        <v>3949</v>
      </c>
      <c r="BT251" t="str">
        <f>HYPERLINK("https%3A%2F%2Fwww.webofscience.com%2Fwos%2Fwoscc%2Ffull-record%2FWOS:000185954200006","View Full Record in Web of Science")</f>
        <v>View Full Record in Web of Science</v>
      </c>
    </row>
    <row r="252" spans="1:72" x14ac:dyDescent="0.15">
      <c r="A252" t="s">
        <v>72</v>
      </c>
      <c r="B252" t="s">
        <v>3950</v>
      </c>
      <c r="C252" t="s">
        <v>74</v>
      </c>
      <c r="D252" t="s">
        <v>74</v>
      </c>
      <c r="E252" t="s">
        <v>74</v>
      </c>
      <c r="F252" t="s">
        <v>3950</v>
      </c>
      <c r="G252" t="s">
        <v>74</v>
      </c>
      <c r="H252" t="s">
        <v>74</v>
      </c>
      <c r="I252" t="s">
        <v>3951</v>
      </c>
      <c r="J252" t="s">
        <v>2177</v>
      </c>
      <c r="K252" t="s">
        <v>74</v>
      </c>
      <c r="L252" t="s">
        <v>74</v>
      </c>
      <c r="M252" t="s">
        <v>77</v>
      </c>
      <c r="N252" t="s">
        <v>78</v>
      </c>
      <c r="O252" t="s">
        <v>74</v>
      </c>
      <c r="P252" t="s">
        <v>74</v>
      </c>
      <c r="Q252" t="s">
        <v>74</v>
      </c>
      <c r="R252" t="s">
        <v>74</v>
      </c>
      <c r="S252" t="s">
        <v>74</v>
      </c>
      <c r="T252" t="s">
        <v>74</v>
      </c>
      <c r="U252" t="s">
        <v>3952</v>
      </c>
      <c r="V252" t="s">
        <v>3953</v>
      </c>
      <c r="W252" t="s">
        <v>3954</v>
      </c>
      <c r="X252" t="s">
        <v>3955</v>
      </c>
      <c r="Y252" t="s">
        <v>3956</v>
      </c>
      <c r="Z252" t="s">
        <v>74</v>
      </c>
      <c r="AA252" t="s">
        <v>3957</v>
      </c>
      <c r="AB252" t="s">
        <v>3958</v>
      </c>
      <c r="AC252" t="s">
        <v>74</v>
      </c>
      <c r="AD252" t="s">
        <v>74</v>
      </c>
      <c r="AE252" t="s">
        <v>74</v>
      </c>
      <c r="AF252" t="s">
        <v>74</v>
      </c>
      <c r="AG252">
        <v>43</v>
      </c>
      <c r="AH252">
        <v>68</v>
      </c>
      <c r="AI252">
        <v>70</v>
      </c>
      <c r="AJ252">
        <v>4</v>
      </c>
      <c r="AK252">
        <v>30</v>
      </c>
      <c r="AL252" t="s">
        <v>342</v>
      </c>
      <c r="AM252" t="s">
        <v>229</v>
      </c>
      <c r="AN252" t="s">
        <v>343</v>
      </c>
      <c r="AO252" t="s">
        <v>2188</v>
      </c>
      <c r="AP252" t="s">
        <v>74</v>
      </c>
      <c r="AQ252" t="s">
        <v>74</v>
      </c>
      <c r="AR252" t="s">
        <v>2190</v>
      </c>
      <c r="AS252" t="s">
        <v>2191</v>
      </c>
      <c r="AT252" t="s">
        <v>3121</v>
      </c>
      <c r="AU252">
        <v>2003</v>
      </c>
      <c r="AV252">
        <v>143</v>
      </c>
      <c r="AW252">
        <v>2</v>
      </c>
      <c r="AX252" t="s">
        <v>74</v>
      </c>
      <c r="AY252" t="s">
        <v>74</v>
      </c>
      <c r="AZ252" t="s">
        <v>74</v>
      </c>
      <c r="BA252" t="s">
        <v>74</v>
      </c>
      <c r="BB252">
        <v>221</v>
      </c>
      <c r="BC252">
        <v>232</v>
      </c>
      <c r="BD252" t="s">
        <v>74</v>
      </c>
      <c r="BE252" t="s">
        <v>3959</v>
      </c>
      <c r="BF252" t="str">
        <f>HYPERLINK("http://dx.doi.org/10.1007/s00227-003-1049-0","http://dx.doi.org/10.1007/s00227-003-1049-0")</f>
        <v>http://dx.doi.org/10.1007/s00227-003-1049-0</v>
      </c>
      <c r="BG252" t="s">
        <v>74</v>
      </c>
      <c r="BH252" t="s">
        <v>74</v>
      </c>
      <c r="BI252">
        <v>12</v>
      </c>
      <c r="BJ252" t="s">
        <v>235</v>
      </c>
      <c r="BK252" t="s">
        <v>94</v>
      </c>
      <c r="BL252" t="s">
        <v>235</v>
      </c>
      <c r="BM252" t="s">
        <v>3960</v>
      </c>
      <c r="BN252" t="s">
        <v>74</v>
      </c>
      <c r="BO252" t="s">
        <v>74</v>
      </c>
      <c r="BP252" t="s">
        <v>74</v>
      </c>
      <c r="BQ252" t="s">
        <v>74</v>
      </c>
      <c r="BR252" t="s">
        <v>97</v>
      </c>
      <c r="BS252" t="s">
        <v>3961</v>
      </c>
      <c r="BT252" t="str">
        <f>HYPERLINK("https%3A%2F%2Fwww.webofscience.com%2Fwos%2Fwoscc%2Ffull-record%2FWOS:000185536900002","View Full Record in Web of Science")</f>
        <v>View Full Record in Web of Science</v>
      </c>
    </row>
    <row r="253" spans="1:72" x14ac:dyDescent="0.15">
      <c r="A253" t="s">
        <v>72</v>
      </c>
      <c r="B253" t="s">
        <v>3962</v>
      </c>
      <c r="C253" t="s">
        <v>74</v>
      </c>
      <c r="D253" t="s">
        <v>74</v>
      </c>
      <c r="E253" t="s">
        <v>74</v>
      </c>
      <c r="F253" t="s">
        <v>3962</v>
      </c>
      <c r="G253" t="s">
        <v>74</v>
      </c>
      <c r="H253" t="s">
        <v>74</v>
      </c>
      <c r="I253" t="s">
        <v>3963</v>
      </c>
      <c r="J253" t="s">
        <v>2177</v>
      </c>
      <c r="K253" t="s">
        <v>74</v>
      </c>
      <c r="L253" t="s">
        <v>74</v>
      </c>
      <c r="M253" t="s">
        <v>77</v>
      </c>
      <c r="N253" t="s">
        <v>78</v>
      </c>
      <c r="O253" t="s">
        <v>74</v>
      </c>
      <c r="P253" t="s">
        <v>74</v>
      </c>
      <c r="Q253" t="s">
        <v>74</v>
      </c>
      <c r="R253" t="s">
        <v>74</v>
      </c>
      <c r="S253" t="s">
        <v>74</v>
      </c>
      <c r="T253" t="s">
        <v>74</v>
      </c>
      <c r="U253" t="s">
        <v>3964</v>
      </c>
      <c r="V253" t="s">
        <v>3965</v>
      </c>
      <c r="W253" t="s">
        <v>3966</v>
      </c>
      <c r="X253" t="s">
        <v>3967</v>
      </c>
      <c r="Y253" t="s">
        <v>3968</v>
      </c>
      <c r="Z253" t="s">
        <v>74</v>
      </c>
      <c r="AA253" t="s">
        <v>3969</v>
      </c>
      <c r="AB253" t="s">
        <v>3970</v>
      </c>
      <c r="AC253" t="s">
        <v>74</v>
      </c>
      <c r="AD253" t="s">
        <v>74</v>
      </c>
      <c r="AE253" t="s">
        <v>74</v>
      </c>
      <c r="AF253" t="s">
        <v>74</v>
      </c>
      <c r="AG253">
        <v>33</v>
      </c>
      <c r="AH253">
        <v>52</v>
      </c>
      <c r="AI253">
        <v>62</v>
      </c>
      <c r="AJ253">
        <v>0</v>
      </c>
      <c r="AK253">
        <v>9</v>
      </c>
      <c r="AL253" t="s">
        <v>342</v>
      </c>
      <c r="AM253" t="s">
        <v>229</v>
      </c>
      <c r="AN253" t="s">
        <v>343</v>
      </c>
      <c r="AO253" t="s">
        <v>2188</v>
      </c>
      <c r="AP253" t="s">
        <v>74</v>
      </c>
      <c r="AQ253" t="s">
        <v>74</v>
      </c>
      <c r="AR253" t="s">
        <v>2190</v>
      </c>
      <c r="AS253" t="s">
        <v>2191</v>
      </c>
      <c r="AT253" t="s">
        <v>3121</v>
      </c>
      <c r="AU253">
        <v>2003</v>
      </c>
      <c r="AV253">
        <v>143</v>
      </c>
      <c r="AW253">
        <v>2</v>
      </c>
      <c r="AX253" t="s">
        <v>74</v>
      </c>
      <c r="AY253" t="s">
        <v>74</v>
      </c>
      <c r="AZ253" t="s">
        <v>74</v>
      </c>
      <c r="BA253" t="s">
        <v>74</v>
      </c>
      <c r="BB253">
        <v>359</v>
      </c>
      <c r="BC253">
        <v>367</v>
      </c>
      <c r="BD253" t="s">
        <v>74</v>
      </c>
      <c r="BE253" t="s">
        <v>3971</v>
      </c>
      <c r="BF253" t="str">
        <f>HYPERLINK("http://dx.doi.org/10.1007/s00227-003-1052-5","http://dx.doi.org/10.1007/s00227-003-1052-5")</f>
        <v>http://dx.doi.org/10.1007/s00227-003-1052-5</v>
      </c>
      <c r="BG253" t="s">
        <v>74</v>
      </c>
      <c r="BH253" t="s">
        <v>74</v>
      </c>
      <c r="BI253">
        <v>9</v>
      </c>
      <c r="BJ253" t="s">
        <v>235</v>
      </c>
      <c r="BK253" t="s">
        <v>94</v>
      </c>
      <c r="BL253" t="s">
        <v>235</v>
      </c>
      <c r="BM253" t="s">
        <v>3960</v>
      </c>
      <c r="BN253" t="s">
        <v>74</v>
      </c>
      <c r="BO253" t="s">
        <v>74</v>
      </c>
      <c r="BP253" t="s">
        <v>74</v>
      </c>
      <c r="BQ253" t="s">
        <v>74</v>
      </c>
      <c r="BR253" t="s">
        <v>97</v>
      </c>
      <c r="BS253" t="s">
        <v>3972</v>
      </c>
      <c r="BT253" t="str">
        <f>HYPERLINK("https%3A%2F%2Fwww.webofscience.com%2Fwos%2Fwoscc%2Ffull-record%2FWOS:000185536900015","View Full Record in Web of Science")</f>
        <v>View Full Record in Web of Science</v>
      </c>
    </row>
    <row r="254" spans="1:72" x14ac:dyDescent="0.15">
      <c r="A254" t="s">
        <v>72</v>
      </c>
      <c r="B254" t="s">
        <v>3973</v>
      </c>
      <c r="C254" t="s">
        <v>74</v>
      </c>
      <c r="D254" t="s">
        <v>74</v>
      </c>
      <c r="E254" t="s">
        <v>74</v>
      </c>
      <c r="F254" t="s">
        <v>3973</v>
      </c>
      <c r="G254" t="s">
        <v>74</v>
      </c>
      <c r="H254" t="s">
        <v>74</v>
      </c>
      <c r="I254" t="s">
        <v>3974</v>
      </c>
      <c r="J254" t="s">
        <v>2224</v>
      </c>
      <c r="K254" t="s">
        <v>74</v>
      </c>
      <c r="L254" t="s">
        <v>74</v>
      </c>
      <c r="M254" t="s">
        <v>77</v>
      </c>
      <c r="N254" t="s">
        <v>773</v>
      </c>
      <c r="O254" t="s">
        <v>74</v>
      </c>
      <c r="P254" t="s">
        <v>74</v>
      </c>
      <c r="Q254" t="s">
        <v>74</v>
      </c>
      <c r="R254" t="s">
        <v>74</v>
      </c>
      <c r="S254" t="s">
        <v>74</v>
      </c>
      <c r="T254" t="s">
        <v>74</v>
      </c>
      <c r="U254" t="s">
        <v>3975</v>
      </c>
      <c r="V254" t="s">
        <v>74</v>
      </c>
      <c r="W254" t="s">
        <v>3976</v>
      </c>
      <c r="X254" t="s">
        <v>351</v>
      </c>
      <c r="Y254" t="s">
        <v>3977</v>
      </c>
      <c r="Z254" t="s">
        <v>3978</v>
      </c>
      <c r="AA254" t="s">
        <v>74</v>
      </c>
      <c r="AB254" t="s">
        <v>74</v>
      </c>
      <c r="AC254" t="s">
        <v>74</v>
      </c>
      <c r="AD254" t="s">
        <v>74</v>
      </c>
      <c r="AE254" t="s">
        <v>74</v>
      </c>
      <c r="AF254" t="s">
        <v>74</v>
      </c>
      <c r="AG254">
        <v>11</v>
      </c>
      <c r="AH254">
        <v>32</v>
      </c>
      <c r="AI254">
        <v>34</v>
      </c>
      <c r="AJ254">
        <v>0</v>
      </c>
      <c r="AK254">
        <v>5</v>
      </c>
      <c r="AL254" t="s">
        <v>169</v>
      </c>
      <c r="AM254" t="s">
        <v>170</v>
      </c>
      <c r="AN254" t="s">
        <v>171</v>
      </c>
      <c r="AO254" t="s">
        <v>2233</v>
      </c>
      <c r="AP254" t="s">
        <v>2234</v>
      </c>
      <c r="AQ254" t="s">
        <v>74</v>
      </c>
      <c r="AR254" t="s">
        <v>2235</v>
      </c>
      <c r="AS254" t="s">
        <v>2236</v>
      </c>
      <c r="AT254" t="s">
        <v>3121</v>
      </c>
      <c r="AU254">
        <v>2003</v>
      </c>
      <c r="AV254">
        <v>46</v>
      </c>
      <c r="AW254">
        <v>8</v>
      </c>
      <c r="AX254" t="s">
        <v>74</v>
      </c>
      <c r="AY254" t="s">
        <v>74</v>
      </c>
      <c r="AZ254" t="s">
        <v>74</v>
      </c>
      <c r="BA254" t="s">
        <v>74</v>
      </c>
      <c r="BB254">
        <v>927</v>
      </c>
      <c r="BC254">
        <v>928</v>
      </c>
      <c r="BD254" t="s">
        <v>74</v>
      </c>
      <c r="BE254" t="s">
        <v>3979</v>
      </c>
      <c r="BF254" t="str">
        <f>HYPERLINK("http://dx.doi.org/10.1016/S0025-326X(03)00252-2","http://dx.doi.org/10.1016/S0025-326X(03)00252-2")</f>
        <v>http://dx.doi.org/10.1016/S0025-326X(03)00252-2</v>
      </c>
      <c r="BG254" t="s">
        <v>74</v>
      </c>
      <c r="BH254" t="s">
        <v>74</v>
      </c>
      <c r="BI254">
        <v>2</v>
      </c>
      <c r="BJ254" t="s">
        <v>2238</v>
      </c>
      <c r="BK254" t="s">
        <v>94</v>
      </c>
      <c r="BL254" t="s">
        <v>486</v>
      </c>
      <c r="BM254" t="s">
        <v>3980</v>
      </c>
      <c r="BN254">
        <v>12907184</v>
      </c>
      <c r="BO254" t="s">
        <v>74</v>
      </c>
      <c r="BP254" t="s">
        <v>74</v>
      </c>
      <c r="BQ254" t="s">
        <v>74</v>
      </c>
      <c r="BR254" t="s">
        <v>97</v>
      </c>
      <c r="BS254" t="s">
        <v>3981</v>
      </c>
      <c r="BT254" t="str">
        <f>HYPERLINK("https%3A%2F%2Fwww.webofscience.com%2Fwos%2Fwoscc%2Ffull-record%2FWOS:000184975300001","View Full Record in Web of Science")</f>
        <v>View Full Record in Web of Science</v>
      </c>
    </row>
    <row r="255" spans="1:72" x14ac:dyDescent="0.15">
      <c r="A255" t="s">
        <v>72</v>
      </c>
      <c r="B255" t="s">
        <v>3982</v>
      </c>
      <c r="C255" t="s">
        <v>74</v>
      </c>
      <c r="D255" t="s">
        <v>74</v>
      </c>
      <c r="E255" t="s">
        <v>74</v>
      </c>
      <c r="F255" t="s">
        <v>3982</v>
      </c>
      <c r="G255" t="s">
        <v>74</v>
      </c>
      <c r="H255" t="s">
        <v>74</v>
      </c>
      <c r="I255" t="s">
        <v>3983</v>
      </c>
      <c r="J255" t="s">
        <v>2224</v>
      </c>
      <c r="K255" t="s">
        <v>74</v>
      </c>
      <c r="L255" t="s">
        <v>74</v>
      </c>
      <c r="M255" t="s">
        <v>77</v>
      </c>
      <c r="N255" t="s">
        <v>3984</v>
      </c>
      <c r="O255" t="s">
        <v>74</v>
      </c>
      <c r="P255" t="s">
        <v>74</v>
      </c>
      <c r="Q255" t="s">
        <v>74</v>
      </c>
      <c r="R255" t="s">
        <v>74</v>
      </c>
      <c r="S255" t="s">
        <v>74</v>
      </c>
      <c r="T255" t="s">
        <v>74</v>
      </c>
      <c r="U255" t="s">
        <v>74</v>
      </c>
      <c r="V255" t="s">
        <v>74</v>
      </c>
      <c r="W255" t="s">
        <v>74</v>
      </c>
      <c r="X255" t="s">
        <v>74</v>
      </c>
      <c r="Y255" t="s">
        <v>74</v>
      </c>
      <c r="Z255" t="s">
        <v>74</v>
      </c>
      <c r="AA255" t="s">
        <v>74</v>
      </c>
      <c r="AB255" t="s">
        <v>74</v>
      </c>
      <c r="AC255" t="s">
        <v>74</v>
      </c>
      <c r="AD255" t="s">
        <v>74</v>
      </c>
      <c r="AE255" t="s">
        <v>74</v>
      </c>
      <c r="AF255" t="s">
        <v>74</v>
      </c>
      <c r="AG255">
        <v>0</v>
      </c>
      <c r="AH255">
        <v>0</v>
      </c>
      <c r="AI255">
        <v>0</v>
      </c>
      <c r="AJ255">
        <v>0</v>
      </c>
      <c r="AK255">
        <v>0</v>
      </c>
      <c r="AL255" t="s">
        <v>169</v>
      </c>
      <c r="AM255" t="s">
        <v>170</v>
      </c>
      <c r="AN255" t="s">
        <v>171</v>
      </c>
      <c r="AO255" t="s">
        <v>2233</v>
      </c>
      <c r="AP255" t="s">
        <v>2234</v>
      </c>
      <c r="AQ255" t="s">
        <v>74</v>
      </c>
      <c r="AR255" t="s">
        <v>2235</v>
      </c>
      <c r="AS255" t="s">
        <v>2236</v>
      </c>
      <c r="AT255" t="s">
        <v>3121</v>
      </c>
      <c r="AU255">
        <v>2003</v>
      </c>
      <c r="AV255">
        <v>46</v>
      </c>
      <c r="AW255">
        <v>8</v>
      </c>
      <c r="AX255" t="s">
        <v>74</v>
      </c>
      <c r="AY255" t="s">
        <v>74</v>
      </c>
      <c r="AZ255" t="s">
        <v>74</v>
      </c>
      <c r="BA255" t="s">
        <v>74</v>
      </c>
      <c r="BB255">
        <v>930</v>
      </c>
      <c r="BC255">
        <v>930</v>
      </c>
      <c r="BD255" t="s">
        <v>74</v>
      </c>
      <c r="BE255" t="s">
        <v>74</v>
      </c>
      <c r="BF255" t="s">
        <v>74</v>
      </c>
      <c r="BG255" t="s">
        <v>74</v>
      </c>
      <c r="BH255" t="s">
        <v>74</v>
      </c>
      <c r="BI255">
        <v>1</v>
      </c>
      <c r="BJ255" t="s">
        <v>2238</v>
      </c>
      <c r="BK255" t="s">
        <v>94</v>
      </c>
      <c r="BL255" t="s">
        <v>486</v>
      </c>
      <c r="BM255" t="s">
        <v>3980</v>
      </c>
      <c r="BN255" t="s">
        <v>74</v>
      </c>
      <c r="BO255" t="s">
        <v>74</v>
      </c>
      <c r="BP255" t="s">
        <v>74</v>
      </c>
      <c r="BQ255" t="s">
        <v>74</v>
      </c>
      <c r="BR255" t="s">
        <v>97</v>
      </c>
      <c r="BS255" t="s">
        <v>3985</v>
      </c>
      <c r="BT255" t="str">
        <f>HYPERLINK("https%3A%2F%2Fwww.webofscience.com%2Fwos%2Fwoscc%2Ffull-record%2FWOS:000184975300007","View Full Record in Web of Science")</f>
        <v>View Full Record in Web of Science</v>
      </c>
    </row>
    <row r="256" spans="1:72" x14ac:dyDescent="0.15">
      <c r="A256" t="s">
        <v>72</v>
      </c>
      <c r="B256" t="s">
        <v>3986</v>
      </c>
      <c r="C256" t="s">
        <v>74</v>
      </c>
      <c r="D256" t="s">
        <v>74</v>
      </c>
      <c r="E256" t="s">
        <v>74</v>
      </c>
      <c r="F256" t="s">
        <v>3986</v>
      </c>
      <c r="G256" t="s">
        <v>74</v>
      </c>
      <c r="H256" t="s">
        <v>74</v>
      </c>
      <c r="I256" t="s">
        <v>3987</v>
      </c>
      <c r="J256" t="s">
        <v>2243</v>
      </c>
      <c r="K256" t="s">
        <v>74</v>
      </c>
      <c r="L256" t="s">
        <v>74</v>
      </c>
      <c r="M256" t="s">
        <v>77</v>
      </c>
      <c r="N256" t="s">
        <v>78</v>
      </c>
      <c r="O256" t="s">
        <v>74</v>
      </c>
      <c r="P256" t="s">
        <v>74</v>
      </c>
      <c r="Q256" t="s">
        <v>74</v>
      </c>
      <c r="R256" t="s">
        <v>74</v>
      </c>
      <c r="S256" t="s">
        <v>74</v>
      </c>
      <c r="T256" t="s">
        <v>74</v>
      </c>
      <c r="U256" t="s">
        <v>3988</v>
      </c>
      <c r="V256" t="s">
        <v>3989</v>
      </c>
      <c r="W256" t="s">
        <v>3990</v>
      </c>
      <c r="X256" t="s">
        <v>3991</v>
      </c>
      <c r="Y256" t="s">
        <v>3992</v>
      </c>
      <c r="Z256" t="s">
        <v>3993</v>
      </c>
      <c r="AA256" t="s">
        <v>3994</v>
      </c>
      <c r="AB256" t="s">
        <v>3995</v>
      </c>
      <c r="AC256" t="s">
        <v>74</v>
      </c>
      <c r="AD256" t="s">
        <v>74</v>
      </c>
      <c r="AE256" t="s">
        <v>74</v>
      </c>
      <c r="AF256" t="s">
        <v>74</v>
      </c>
      <c r="AG256">
        <v>57</v>
      </c>
      <c r="AH256">
        <v>3</v>
      </c>
      <c r="AI256">
        <v>8</v>
      </c>
      <c r="AJ256">
        <v>0</v>
      </c>
      <c r="AK256">
        <v>2</v>
      </c>
      <c r="AL256" t="s">
        <v>3996</v>
      </c>
      <c r="AM256" t="s">
        <v>3863</v>
      </c>
      <c r="AN256" t="s">
        <v>3997</v>
      </c>
      <c r="AO256" t="s">
        <v>2253</v>
      </c>
      <c r="AP256" t="s">
        <v>74</v>
      </c>
      <c r="AQ256" t="s">
        <v>74</v>
      </c>
      <c r="AR256" t="s">
        <v>2254</v>
      </c>
      <c r="AS256" t="s">
        <v>2255</v>
      </c>
      <c r="AT256" t="s">
        <v>3121</v>
      </c>
      <c r="AU256">
        <v>2003</v>
      </c>
      <c r="AV256">
        <v>38</v>
      </c>
      <c r="AW256">
        <v>8</v>
      </c>
      <c r="AX256" t="s">
        <v>74</v>
      </c>
      <c r="AY256" t="s">
        <v>74</v>
      </c>
      <c r="AZ256" t="s">
        <v>74</v>
      </c>
      <c r="BA256" t="s">
        <v>74</v>
      </c>
      <c r="BB256">
        <v>1243</v>
      </c>
      <c r="BC256">
        <v>1253</v>
      </c>
      <c r="BD256" t="s">
        <v>74</v>
      </c>
      <c r="BE256" t="s">
        <v>3998</v>
      </c>
      <c r="BF256" t="str">
        <f>HYPERLINK("http://dx.doi.org/10.1111/j.1945-5100.2003.tb00310.x","http://dx.doi.org/10.1111/j.1945-5100.2003.tb00310.x")</f>
        <v>http://dx.doi.org/10.1111/j.1945-5100.2003.tb00310.x</v>
      </c>
      <c r="BG256" t="s">
        <v>74</v>
      </c>
      <c r="BH256" t="s">
        <v>74</v>
      </c>
      <c r="BI256">
        <v>11</v>
      </c>
      <c r="BJ256" t="s">
        <v>176</v>
      </c>
      <c r="BK256" t="s">
        <v>94</v>
      </c>
      <c r="BL256" t="s">
        <v>176</v>
      </c>
      <c r="BM256" t="s">
        <v>3999</v>
      </c>
      <c r="BN256" t="s">
        <v>74</v>
      </c>
      <c r="BO256" t="s">
        <v>96</v>
      </c>
      <c r="BP256" t="s">
        <v>74</v>
      </c>
      <c r="BQ256" t="s">
        <v>74</v>
      </c>
      <c r="BR256" t="s">
        <v>97</v>
      </c>
      <c r="BS256" t="s">
        <v>4000</v>
      </c>
      <c r="BT256" t="str">
        <f>HYPERLINK("https%3A%2F%2Fwww.webofscience.com%2Fwos%2Fwoscc%2Ffull-record%2FWOS:000186652800008","View Full Record in Web of Science")</f>
        <v>View Full Record in Web of Science</v>
      </c>
    </row>
    <row r="257" spans="1:72" x14ac:dyDescent="0.15">
      <c r="A257" t="s">
        <v>72</v>
      </c>
      <c r="B257" t="s">
        <v>4001</v>
      </c>
      <c r="C257" t="s">
        <v>74</v>
      </c>
      <c r="D257" t="s">
        <v>74</v>
      </c>
      <c r="E257" t="s">
        <v>74</v>
      </c>
      <c r="F257" t="s">
        <v>4001</v>
      </c>
      <c r="G257" t="s">
        <v>74</v>
      </c>
      <c r="H257" t="s">
        <v>74</v>
      </c>
      <c r="I257" t="s">
        <v>4002</v>
      </c>
      <c r="J257" t="s">
        <v>316</v>
      </c>
      <c r="K257" t="s">
        <v>74</v>
      </c>
      <c r="L257" t="s">
        <v>74</v>
      </c>
      <c r="M257" t="s">
        <v>77</v>
      </c>
      <c r="N257" t="s">
        <v>78</v>
      </c>
      <c r="O257" t="s">
        <v>74</v>
      </c>
      <c r="P257" t="s">
        <v>74</v>
      </c>
      <c r="Q257" t="s">
        <v>74</v>
      </c>
      <c r="R257" t="s">
        <v>74</v>
      </c>
      <c r="S257" t="s">
        <v>74</v>
      </c>
      <c r="T257" t="s">
        <v>74</v>
      </c>
      <c r="U257" t="s">
        <v>4003</v>
      </c>
      <c r="V257" t="s">
        <v>4004</v>
      </c>
      <c r="W257" t="s">
        <v>4005</v>
      </c>
      <c r="X257" t="s">
        <v>4006</v>
      </c>
      <c r="Y257" t="s">
        <v>4007</v>
      </c>
      <c r="Z257" t="s">
        <v>4008</v>
      </c>
      <c r="AA257" t="s">
        <v>4009</v>
      </c>
      <c r="AB257" t="s">
        <v>4010</v>
      </c>
      <c r="AC257" t="s">
        <v>74</v>
      </c>
      <c r="AD257" t="s">
        <v>74</v>
      </c>
      <c r="AE257" t="s">
        <v>74</v>
      </c>
      <c r="AF257" t="s">
        <v>74</v>
      </c>
      <c r="AG257">
        <v>26</v>
      </c>
      <c r="AH257">
        <v>19</v>
      </c>
      <c r="AI257">
        <v>22</v>
      </c>
      <c r="AJ257">
        <v>0</v>
      </c>
      <c r="AK257">
        <v>8</v>
      </c>
      <c r="AL257" t="s">
        <v>207</v>
      </c>
      <c r="AM257" t="s">
        <v>229</v>
      </c>
      <c r="AN257" t="s">
        <v>323</v>
      </c>
      <c r="AO257" t="s">
        <v>324</v>
      </c>
      <c r="AP257" t="s">
        <v>325</v>
      </c>
      <c r="AQ257" t="s">
        <v>74</v>
      </c>
      <c r="AR257" t="s">
        <v>326</v>
      </c>
      <c r="AS257" t="s">
        <v>327</v>
      </c>
      <c r="AT257" t="s">
        <v>3121</v>
      </c>
      <c r="AU257">
        <v>2003</v>
      </c>
      <c r="AV257">
        <v>26</v>
      </c>
      <c r="AW257">
        <v>8</v>
      </c>
      <c r="AX257" t="s">
        <v>74</v>
      </c>
      <c r="AY257" t="s">
        <v>74</v>
      </c>
      <c r="AZ257" t="s">
        <v>74</v>
      </c>
      <c r="BA257" t="s">
        <v>74</v>
      </c>
      <c r="BB257">
        <v>525</v>
      </c>
      <c r="BC257">
        <v>529</v>
      </c>
      <c r="BD257" t="s">
        <v>74</v>
      </c>
      <c r="BE257" t="s">
        <v>4011</v>
      </c>
      <c r="BF257" t="str">
        <f>HYPERLINK("http://dx.doi.org/10.1007/s00300-003-0515-y","http://dx.doi.org/10.1007/s00300-003-0515-y")</f>
        <v>http://dx.doi.org/10.1007/s00300-003-0515-y</v>
      </c>
      <c r="BG257" t="s">
        <v>74</v>
      </c>
      <c r="BH257" t="s">
        <v>74</v>
      </c>
      <c r="BI257">
        <v>5</v>
      </c>
      <c r="BJ257" t="s">
        <v>329</v>
      </c>
      <c r="BK257" t="s">
        <v>94</v>
      </c>
      <c r="BL257" t="s">
        <v>330</v>
      </c>
      <c r="BM257" t="s">
        <v>4012</v>
      </c>
      <c r="BN257" t="s">
        <v>74</v>
      </c>
      <c r="BO257" t="s">
        <v>74</v>
      </c>
      <c r="BP257" t="s">
        <v>74</v>
      </c>
      <c r="BQ257" t="s">
        <v>74</v>
      </c>
      <c r="BR257" t="s">
        <v>97</v>
      </c>
      <c r="BS257" t="s">
        <v>4013</v>
      </c>
      <c r="BT257" t="str">
        <f>HYPERLINK("https%3A%2F%2Fwww.webofscience.com%2Fwos%2Fwoscc%2Ffull-record%2FWOS:000184325800005","View Full Record in Web of Science")</f>
        <v>View Full Record in Web of Science</v>
      </c>
    </row>
    <row r="258" spans="1:72" x14ac:dyDescent="0.15">
      <c r="A258" t="s">
        <v>72</v>
      </c>
      <c r="B258" t="s">
        <v>4014</v>
      </c>
      <c r="C258" t="s">
        <v>74</v>
      </c>
      <c r="D258" t="s">
        <v>74</v>
      </c>
      <c r="E258" t="s">
        <v>74</v>
      </c>
      <c r="F258" t="s">
        <v>4014</v>
      </c>
      <c r="G258" t="s">
        <v>74</v>
      </c>
      <c r="H258" t="s">
        <v>74</v>
      </c>
      <c r="I258" t="s">
        <v>4015</v>
      </c>
      <c r="J258" t="s">
        <v>316</v>
      </c>
      <c r="K258" t="s">
        <v>74</v>
      </c>
      <c r="L258" t="s">
        <v>74</v>
      </c>
      <c r="M258" t="s">
        <v>77</v>
      </c>
      <c r="N258" t="s">
        <v>78</v>
      </c>
      <c r="O258" t="s">
        <v>74</v>
      </c>
      <c r="P258" t="s">
        <v>74</v>
      </c>
      <c r="Q258" t="s">
        <v>74</v>
      </c>
      <c r="R258" t="s">
        <v>74</v>
      </c>
      <c r="S258" t="s">
        <v>74</v>
      </c>
      <c r="T258" t="s">
        <v>74</v>
      </c>
      <c r="U258" t="s">
        <v>4016</v>
      </c>
      <c r="V258" t="s">
        <v>4017</v>
      </c>
      <c r="W258" t="s">
        <v>4018</v>
      </c>
      <c r="X258" t="s">
        <v>4019</v>
      </c>
      <c r="Y258" t="s">
        <v>4020</v>
      </c>
      <c r="Z258" t="s">
        <v>74</v>
      </c>
      <c r="AA258" t="s">
        <v>74</v>
      </c>
      <c r="AB258" t="s">
        <v>74</v>
      </c>
      <c r="AC258" t="s">
        <v>74</v>
      </c>
      <c r="AD258" t="s">
        <v>74</v>
      </c>
      <c r="AE258" t="s">
        <v>74</v>
      </c>
      <c r="AF258" t="s">
        <v>74</v>
      </c>
      <c r="AG258">
        <v>55</v>
      </c>
      <c r="AH258">
        <v>28</v>
      </c>
      <c r="AI258">
        <v>31</v>
      </c>
      <c r="AJ258">
        <v>0</v>
      </c>
      <c r="AK258">
        <v>12</v>
      </c>
      <c r="AL258" t="s">
        <v>342</v>
      </c>
      <c r="AM258" t="s">
        <v>229</v>
      </c>
      <c r="AN258" t="s">
        <v>343</v>
      </c>
      <c r="AO258" t="s">
        <v>324</v>
      </c>
      <c r="AP258" t="s">
        <v>74</v>
      </c>
      <c r="AQ258" t="s">
        <v>74</v>
      </c>
      <c r="AR258" t="s">
        <v>326</v>
      </c>
      <c r="AS258" t="s">
        <v>327</v>
      </c>
      <c r="AT258" t="s">
        <v>3121</v>
      </c>
      <c r="AU258">
        <v>2003</v>
      </c>
      <c r="AV258">
        <v>26</v>
      </c>
      <c r="AW258">
        <v>8</v>
      </c>
      <c r="AX258" t="s">
        <v>74</v>
      </c>
      <c r="AY258" t="s">
        <v>74</v>
      </c>
      <c r="AZ258" t="s">
        <v>74</v>
      </c>
      <c r="BA258" t="s">
        <v>74</v>
      </c>
      <c r="BB258">
        <v>552</v>
      </c>
      <c r="BC258">
        <v>559</v>
      </c>
      <c r="BD258" t="s">
        <v>74</v>
      </c>
      <c r="BE258" t="s">
        <v>4021</v>
      </c>
      <c r="BF258" t="str">
        <f>HYPERLINK("http://dx.doi.org/10.1007/s00300-003-0522-z","http://dx.doi.org/10.1007/s00300-003-0522-z")</f>
        <v>http://dx.doi.org/10.1007/s00300-003-0522-z</v>
      </c>
      <c r="BG258" t="s">
        <v>74</v>
      </c>
      <c r="BH258" t="s">
        <v>74</v>
      </c>
      <c r="BI258">
        <v>8</v>
      </c>
      <c r="BJ258" t="s">
        <v>329</v>
      </c>
      <c r="BK258" t="s">
        <v>94</v>
      </c>
      <c r="BL258" t="s">
        <v>330</v>
      </c>
      <c r="BM258" t="s">
        <v>4012</v>
      </c>
      <c r="BN258" t="s">
        <v>74</v>
      </c>
      <c r="BO258" t="s">
        <v>74</v>
      </c>
      <c r="BP258" t="s">
        <v>74</v>
      </c>
      <c r="BQ258" t="s">
        <v>74</v>
      </c>
      <c r="BR258" t="s">
        <v>97</v>
      </c>
      <c r="BS258" t="s">
        <v>4022</v>
      </c>
      <c r="BT258" t="str">
        <f>HYPERLINK("https%3A%2F%2Fwww.webofscience.com%2Fwos%2Fwoscc%2Ffull-record%2FWOS:000184325800009","View Full Record in Web of Science")</f>
        <v>View Full Record in Web of Science</v>
      </c>
    </row>
    <row r="259" spans="1:72" x14ac:dyDescent="0.15">
      <c r="A259" t="s">
        <v>72</v>
      </c>
      <c r="B259" t="s">
        <v>4023</v>
      </c>
      <c r="C259" t="s">
        <v>74</v>
      </c>
      <c r="D259" t="s">
        <v>74</v>
      </c>
      <c r="E259" t="s">
        <v>74</v>
      </c>
      <c r="F259" t="s">
        <v>4023</v>
      </c>
      <c r="G259" t="s">
        <v>74</v>
      </c>
      <c r="H259" t="s">
        <v>74</v>
      </c>
      <c r="I259" t="s">
        <v>4024</v>
      </c>
      <c r="J259" t="s">
        <v>316</v>
      </c>
      <c r="K259" t="s">
        <v>74</v>
      </c>
      <c r="L259" t="s">
        <v>74</v>
      </c>
      <c r="M259" t="s">
        <v>77</v>
      </c>
      <c r="N259" t="s">
        <v>78</v>
      </c>
      <c r="O259" t="s">
        <v>74</v>
      </c>
      <c r="P259" t="s">
        <v>74</v>
      </c>
      <c r="Q259" t="s">
        <v>74</v>
      </c>
      <c r="R259" t="s">
        <v>74</v>
      </c>
      <c r="S259" t="s">
        <v>74</v>
      </c>
      <c r="T259" t="s">
        <v>74</v>
      </c>
      <c r="U259" t="s">
        <v>4025</v>
      </c>
      <c r="V259" t="s">
        <v>4026</v>
      </c>
      <c r="W259" t="s">
        <v>4027</v>
      </c>
      <c r="X259" t="s">
        <v>4028</v>
      </c>
      <c r="Y259" t="s">
        <v>4029</v>
      </c>
      <c r="Z259" t="s">
        <v>74</v>
      </c>
      <c r="AA259" t="s">
        <v>4030</v>
      </c>
      <c r="AB259" t="s">
        <v>74</v>
      </c>
      <c r="AC259" t="s">
        <v>74</v>
      </c>
      <c r="AD259" t="s">
        <v>74</v>
      </c>
      <c r="AE259" t="s">
        <v>74</v>
      </c>
      <c r="AF259" t="s">
        <v>74</v>
      </c>
      <c r="AG259">
        <v>24</v>
      </c>
      <c r="AH259">
        <v>5</v>
      </c>
      <c r="AI259">
        <v>6</v>
      </c>
      <c r="AJ259">
        <v>0</v>
      </c>
      <c r="AK259">
        <v>5</v>
      </c>
      <c r="AL259" t="s">
        <v>342</v>
      </c>
      <c r="AM259" t="s">
        <v>229</v>
      </c>
      <c r="AN259" t="s">
        <v>343</v>
      </c>
      <c r="AO259" t="s">
        <v>324</v>
      </c>
      <c r="AP259" t="s">
        <v>74</v>
      </c>
      <c r="AQ259" t="s">
        <v>74</v>
      </c>
      <c r="AR259" t="s">
        <v>326</v>
      </c>
      <c r="AS259" t="s">
        <v>327</v>
      </c>
      <c r="AT259" t="s">
        <v>3121</v>
      </c>
      <c r="AU259">
        <v>2003</v>
      </c>
      <c r="AV259">
        <v>26</v>
      </c>
      <c r="AW259">
        <v>8</v>
      </c>
      <c r="AX259" t="s">
        <v>74</v>
      </c>
      <c r="AY259" t="s">
        <v>74</v>
      </c>
      <c r="AZ259" t="s">
        <v>74</v>
      </c>
      <c r="BA259" t="s">
        <v>74</v>
      </c>
      <c r="BB259">
        <v>560</v>
      </c>
      <c r="BC259">
        <v>566</v>
      </c>
      <c r="BD259" t="s">
        <v>74</v>
      </c>
      <c r="BE259" t="s">
        <v>4031</v>
      </c>
      <c r="BF259" t="str">
        <f>HYPERLINK("http://dx.doi.org/10.1007/s00300-003-0528-6","http://dx.doi.org/10.1007/s00300-003-0528-6")</f>
        <v>http://dx.doi.org/10.1007/s00300-003-0528-6</v>
      </c>
      <c r="BG259" t="s">
        <v>74</v>
      </c>
      <c r="BH259" t="s">
        <v>74</v>
      </c>
      <c r="BI259">
        <v>7</v>
      </c>
      <c r="BJ259" t="s">
        <v>329</v>
      </c>
      <c r="BK259" t="s">
        <v>94</v>
      </c>
      <c r="BL259" t="s">
        <v>330</v>
      </c>
      <c r="BM259" t="s">
        <v>4012</v>
      </c>
      <c r="BN259" t="s">
        <v>74</v>
      </c>
      <c r="BO259" t="s">
        <v>74</v>
      </c>
      <c r="BP259" t="s">
        <v>74</v>
      </c>
      <c r="BQ259" t="s">
        <v>74</v>
      </c>
      <c r="BR259" t="s">
        <v>97</v>
      </c>
      <c r="BS259" t="s">
        <v>4032</v>
      </c>
      <c r="BT259" t="str">
        <f>HYPERLINK("https%3A%2F%2Fwww.webofscience.com%2Fwos%2Fwoscc%2Ffull-record%2FWOS:000184325800010","View Full Record in Web of Science")</f>
        <v>View Full Record in Web of Science</v>
      </c>
    </row>
    <row r="260" spans="1:72" x14ac:dyDescent="0.15">
      <c r="A260" t="s">
        <v>72</v>
      </c>
      <c r="B260" t="s">
        <v>4033</v>
      </c>
      <c r="C260" t="s">
        <v>74</v>
      </c>
      <c r="D260" t="s">
        <v>74</v>
      </c>
      <c r="E260" t="s">
        <v>74</v>
      </c>
      <c r="F260" t="s">
        <v>4033</v>
      </c>
      <c r="G260" t="s">
        <v>74</v>
      </c>
      <c r="H260" t="s">
        <v>74</v>
      </c>
      <c r="I260" t="s">
        <v>4034</v>
      </c>
      <c r="J260" t="s">
        <v>4035</v>
      </c>
      <c r="K260" t="s">
        <v>74</v>
      </c>
      <c r="L260" t="s">
        <v>74</v>
      </c>
      <c r="M260" t="s">
        <v>77</v>
      </c>
      <c r="N260" t="s">
        <v>78</v>
      </c>
      <c r="O260" t="s">
        <v>74</v>
      </c>
      <c r="P260" t="s">
        <v>74</v>
      </c>
      <c r="Q260" t="s">
        <v>74</v>
      </c>
      <c r="R260" t="s">
        <v>74</v>
      </c>
      <c r="S260" t="s">
        <v>74</v>
      </c>
      <c r="T260" t="s">
        <v>4036</v>
      </c>
      <c r="U260" t="s">
        <v>4037</v>
      </c>
      <c r="V260" t="s">
        <v>4038</v>
      </c>
      <c r="W260" t="s">
        <v>4039</v>
      </c>
      <c r="X260" t="s">
        <v>4040</v>
      </c>
      <c r="Y260" t="s">
        <v>4041</v>
      </c>
      <c r="Z260" t="s">
        <v>74</v>
      </c>
      <c r="AA260" t="s">
        <v>74</v>
      </c>
      <c r="AB260" t="s">
        <v>74</v>
      </c>
      <c r="AC260" t="s">
        <v>74</v>
      </c>
      <c r="AD260" t="s">
        <v>74</v>
      </c>
      <c r="AE260" t="s">
        <v>74</v>
      </c>
      <c r="AF260" t="s">
        <v>74</v>
      </c>
      <c r="AG260">
        <v>19</v>
      </c>
      <c r="AH260">
        <v>8</v>
      </c>
      <c r="AI260">
        <v>11</v>
      </c>
      <c r="AJ260">
        <v>0</v>
      </c>
      <c r="AK260">
        <v>3</v>
      </c>
      <c r="AL260" t="s">
        <v>1651</v>
      </c>
      <c r="AM260" t="s">
        <v>1652</v>
      </c>
      <c r="AN260" t="s">
        <v>1653</v>
      </c>
      <c r="AO260" t="s">
        <v>4042</v>
      </c>
      <c r="AP260" t="s">
        <v>74</v>
      </c>
      <c r="AQ260" t="s">
        <v>74</v>
      </c>
      <c r="AR260" t="s">
        <v>4043</v>
      </c>
      <c r="AS260" t="s">
        <v>4044</v>
      </c>
      <c r="AT260" t="s">
        <v>3121</v>
      </c>
      <c r="AU260">
        <v>2003</v>
      </c>
      <c r="AV260">
        <v>13</v>
      </c>
      <c r="AW260">
        <v>8</v>
      </c>
      <c r="AX260" t="s">
        <v>74</v>
      </c>
      <c r="AY260" t="s">
        <v>74</v>
      </c>
      <c r="AZ260" t="s">
        <v>74</v>
      </c>
      <c r="BA260" t="s">
        <v>74</v>
      </c>
      <c r="BB260">
        <v>615</v>
      </c>
      <c r="BC260">
        <v>619</v>
      </c>
      <c r="BD260" t="s">
        <v>74</v>
      </c>
      <c r="BE260" t="s">
        <v>4045</v>
      </c>
      <c r="BF260" t="str">
        <f>HYPERLINK("http://dx.doi.org/10.1080/10020070312331344130","http://dx.doi.org/10.1080/10020070312331344130")</f>
        <v>http://dx.doi.org/10.1080/10020070312331344130</v>
      </c>
      <c r="BG260" t="s">
        <v>74</v>
      </c>
      <c r="BH260" t="s">
        <v>74</v>
      </c>
      <c r="BI260">
        <v>5</v>
      </c>
      <c r="BJ260" t="s">
        <v>4046</v>
      </c>
      <c r="BK260" t="s">
        <v>94</v>
      </c>
      <c r="BL260" t="s">
        <v>4047</v>
      </c>
      <c r="BM260" t="s">
        <v>4048</v>
      </c>
      <c r="BN260" t="s">
        <v>74</v>
      </c>
      <c r="BO260" t="s">
        <v>74</v>
      </c>
      <c r="BP260" t="s">
        <v>74</v>
      </c>
      <c r="BQ260" t="s">
        <v>74</v>
      </c>
      <c r="BR260" t="s">
        <v>97</v>
      </c>
      <c r="BS260" t="s">
        <v>4049</v>
      </c>
      <c r="BT260" t="str">
        <f>HYPERLINK("https%3A%2F%2Fwww.webofscience.com%2Fwos%2Fwoscc%2Ffull-record%2FWOS:000184558600010","View Full Record in Web of Science")</f>
        <v>View Full Record in Web of Science</v>
      </c>
    </row>
    <row r="261" spans="1:72" x14ac:dyDescent="0.15">
      <c r="A261" t="s">
        <v>72</v>
      </c>
      <c r="B261" t="s">
        <v>4050</v>
      </c>
      <c r="C261" t="s">
        <v>74</v>
      </c>
      <c r="D261" t="s">
        <v>74</v>
      </c>
      <c r="E261" t="s">
        <v>74</v>
      </c>
      <c r="F261" t="s">
        <v>4050</v>
      </c>
      <c r="G261" t="s">
        <v>74</v>
      </c>
      <c r="H261" t="s">
        <v>74</v>
      </c>
      <c r="I261" t="s">
        <v>4051</v>
      </c>
      <c r="J261" t="s">
        <v>4052</v>
      </c>
      <c r="K261" t="s">
        <v>74</v>
      </c>
      <c r="L261" t="s">
        <v>74</v>
      </c>
      <c r="M261" t="s">
        <v>77</v>
      </c>
      <c r="N261" t="s">
        <v>159</v>
      </c>
      <c r="O261" t="s">
        <v>4053</v>
      </c>
      <c r="P261" t="s">
        <v>4054</v>
      </c>
      <c r="Q261" t="s">
        <v>4055</v>
      </c>
      <c r="R261" t="s">
        <v>74</v>
      </c>
      <c r="S261" t="s">
        <v>4056</v>
      </c>
      <c r="T261" t="s">
        <v>4057</v>
      </c>
      <c r="U261" t="s">
        <v>4058</v>
      </c>
      <c r="V261" t="s">
        <v>4059</v>
      </c>
      <c r="W261" t="s">
        <v>4060</v>
      </c>
      <c r="X261" t="s">
        <v>4061</v>
      </c>
      <c r="Y261" t="s">
        <v>4062</v>
      </c>
      <c r="Z261" t="s">
        <v>4063</v>
      </c>
      <c r="AA261" t="s">
        <v>74</v>
      </c>
      <c r="AB261" t="s">
        <v>74</v>
      </c>
      <c r="AC261" t="s">
        <v>74</v>
      </c>
      <c r="AD261" t="s">
        <v>74</v>
      </c>
      <c r="AE261" t="s">
        <v>74</v>
      </c>
      <c r="AF261" t="s">
        <v>74</v>
      </c>
      <c r="AG261">
        <v>36</v>
      </c>
      <c r="AH261">
        <v>42</v>
      </c>
      <c r="AI261">
        <v>44</v>
      </c>
      <c r="AJ261">
        <v>0</v>
      </c>
      <c r="AK261">
        <v>23</v>
      </c>
      <c r="AL261" t="s">
        <v>169</v>
      </c>
      <c r="AM261" t="s">
        <v>170</v>
      </c>
      <c r="AN261" t="s">
        <v>171</v>
      </c>
      <c r="AO261" t="s">
        <v>4064</v>
      </c>
      <c r="AP261" t="s">
        <v>74</v>
      </c>
      <c r="AQ261" t="s">
        <v>74</v>
      </c>
      <c r="AR261" t="s">
        <v>4065</v>
      </c>
      <c r="AS261" t="s">
        <v>4066</v>
      </c>
      <c r="AT261" t="s">
        <v>3121</v>
      </c>
      <c r="AU261">
        <v>2003</v>
      </c>
      <c r="AV261">
        <v>59</v>
      </c>
      <c r="AW261">
        <v>10</v>
      </c>
      <c r="AX261" t="s">
        <v>74</v>
      </c>
      <c r="AY261" t="s">
        <v>74</v>
      </c>
      <c r="AZ261" t="s">
        <v>74</v>
      </c>
      <c r="BA261" t="s">
        <v>74</v>
      </c>
      <c r="BB261">
        <v>2277</v>
      </c>
      <c r="BC261">
        <v>2290</v>
      </c>
      <c r="BD261" t="s">
        <v>74</v>
      </c>
      <c r="BE261" t="s">
        <v>4067</v>
      </c>
      <c r="BF261" t="str">
        <f>HYPERLINK("http://dx.doi.org/10.1016/S1386-1425(03)00071-4","http://dx.doi.org/10.1016/S1386-1425(03)00071-4")</f>
        <v>http://dx.doi.org/10.1016/S1386-1425(03)00071-4</v>
      </c>
      <c r="BG261" t="s">
        <v>74</v>
      </c>
      <c r="BH261" t="s">
        <v>74</v>
      </c>
      <c r="BI261">
        <v>14</v>
      </c>
      <c r="BJ261" t="s">
        <v>4068</v>
      </c>
      <c r="BK261" t="s">
        <v>177</v>
      </c>
      <c r="BL261" t="s">
        <v>4068</v>
      </c>
      <c r="BM261" t="s">
        <v>4069</v>
      </c>
      <c r="BN261">
        <v>12909141</v>
      </c>
      <c r="BO261" t="s">
        <v>74</v>
      </c>
      <c r="BP261" t="s">
        <v>74</v>
      </c>
      <c r="BQ261" t="s">
        <v>74</v>
      </c>
      <c r="BR261" t="s">
        <v>97</v>
      </c>
      <c r="BS261" t="s">
        <v>4070</v>
      </c>
      <c r="BT261" t="str">
        <f>HYPERLINK("https%3A%2F%2Fwww.webofscience.com%2Fwos%2Fwoscc%2Ffull-record%2FWOS:000185038100011","View Full Record in Web of Science")</f>
        <v>View Full Record in Web of Science</v>
      </c>
    </row>
    <row r="262" spans="1:72" x14ac:dyDescent="0.15">
      <c r="A262" t="s">
        <v>72</v>
      </c>
      <c r="B262" t="s">
        <v>4071</v>
      </c>
      <c r="C262" t="s">
        <v>74</v>
      </c>
      <c r="D262" t="s">
        <v>74</v>
      </c>
      <c r="E262" t="s">
        <v>74</v>
      </c>
      <c r="F262" t="s">
        <v>4071</v>
      </c>
      <c r="G262" t="s">
        <v>74</v>
      </c>
      <c r="H262" t="s">
        <v>74</v>
      </c>
      <c r="I262" t="s">
        <v>4072</v>
      </c>
      <c r="J262" t="s">
        <v>4052</v>
      </c>
      <c r="K262" t="s">
        <v>74</v>
      </c>
      <c r="L262" t="s">
        <v>74</v>
      </c>
      <c r="M262" t="s">
        <v>77</v>
      </c>
      <c r="N262" t="s">
        <v>159</v>
      </c>
      <c r="O262" t="s">
        <v>4053</v>
      </c>
      <c r="P262" t="s">
        <v>4054</v>
      </c>
      <c r="Q262" t="s">
        <v>4055</v>
      </c>
      <c r="R262" t="s">
        <v>74</v>
      </c>
      <c r="S262" t="s">
        <v>4056</v>
      </c>
      <c r="T262" t="s">
        <v>4073</v>
      </c>
      <c r="U262" t="s">
        <v>74</v>
      </c>
      <c r="V262" t="s">
        <v>4074</v>
      </c>
      <c r="W262" t="s">
        <v>4075</v>
      </c>
      <c r="X262" t="s">
        <v>4076</v>
      </c>
      <c r="Y262" t="s">
        <v>4077</v>
      </c>
      <c r="Z262" t="s">
        <v>74</v>
      </c>
      <c r="AA262" t="s">
        <v>74</v>
      </c>
      <c r="AB262" t="s">
        <v>74</v>
      </c>
      <c r="AC262" t="s">
        <v>74</v>
      </c>
      <c r="AD262" t="s">
        <v>74</v>
      </c>
      <c r="AE262" t="s">
        <v>74</v>
      </c>
      <c r="AF262" t="s">
        <v>74</v>
      </c>
      <c r="AG262">
        <v>15</v>
      </c>
      <c r="AH262">
        <v>35</v>
      </c>
      <c r="AI262">
        <v>39</v>
      </c>
      <c r="AJ262">
        <v>2</v>
      </c>
      <c r="AK262">
        <v>10</v>
      </c>
      <c r="AL262" t="s">
        <v>169</v>
      </c>
      <c r="AM262" t="s">
        <v>170</v>
      </c>
      <c r="AN262" t="s">
        <v>171</v>
      </c>
      <c r="AO262" t="s">
        <v>4064</v>
      </c>
      <c r="AP262" t="s">
        <v>74</v>
      </c>
      <c r="AQ262" t="s">
        <v>74</v>
      </c>
      <c r="AR262" t="s">
        <v>4065</v>
      </c>
      <c r="AS262" t="s">
        <v>4066</v>
      </c>
      <c r="AT262" t="s">
        <v>3121</v>
      </c>
      <c r="AU262">
        <v>2003</v>
      </c>
      <c r="AV262">
        <v>59</v>
      </c>
      <c r="AW262">
        <v>10</v>
      </c>
      <c r="AX262" t="s">
        <v>74</v>
      </c>
      <c r="AY262" t="s">
        <v>74</v>
      </c>
      <c r="AZ262" t="s">
        <v>74</v>
      </c>
      <c r="BA262" t="s">
        <v>74</v>
      </c>
      <c r="BB262">
        <v>2301</v>
      </c>
      <c r="BC262">
        <v>2309</v>
      </c>
      <c r="BD262" t="s">
        <v>74</v>
      </c>
      <c r="BE262" t="s">
        <v>4078</v>
      </c>
      <c r="BF262" t="str">
        <f>HYPERLINK("http://dx.doi.org/10.1016/S1386-1425(03)00073-8","http://dx.doi.org/10.1016/S1386-1425(03)00073-8")</f>
        <v>http://dx.doi.org/10.1016/S1386-1425(03)00073-8</v>
      </c>
      <c r="BG262" t="s">
        <v>74</v>
      </c>
      <c r="BH262" t="s">
        <v>74</v>
      </c>
      <c r="BI262">
        <v>9</v>
      </c>
      <c r="BJ262" t="s">
        <v>4068</v>
      </c>
      <c r="BK262" t="s">
        <v>854</v>
      </c>
      <c r="BL262" t="s">
        <v>4068</v>
      </c>
      <c r="BM262" t="s">
        <v>4069</v>
      </c>
      <c r="BN262">
        <v>12909143</v>
      </c>
      <c r="BO262" t="s">
        <v>74</v>
      </c>
      <c r="BP262" t="s">
        <v>74</v>
      </c>
      <c r="BQ262" t="s">
        <v>74</v>
      </c>
      <c r="BR262" t="s">
        <v>97</v>
      </c>
      <c r="BS262" t="s">
        <v>4079</v>
      </c>
      <c r="BT262" t="str">
        <f>HYPERLINK("https%3A%2F%2Fwww.webofscience.com%2Fwos%2Fwoscc%2Ffull-record%2FWOS:000185038100013","View Full Record in Web of Science")</f>
        <v>View Full Record in Web of Science</v>
      </c>
    </row>
    <row r="263" spans="1:72" x14ac:dyDescent="0.15">
      <c r="A263" t="s">
        <v>72</v>
      </c>
      <c r="B263" t="s">
        <v>4080</v>
      </c>
      <c r="C263" t="s">
        <v>74</v>
      </c>
      <c r="D263" t="s">
        <v>74</v>
      </c>
      <c r="E263" t="s">
        <v>74</v>
      </c>
      <c r="F263" t="s">
        <v>4080</v>
      </c>
      <c r="G263" t="s">
        <v>74</v>
      </c>
      <c r="H263" t="s">
        <v>74</v>
      </c>
      <c r="I263" t="s">
        <v>4081</v>
      </c>
      <c r="J263" t="s">
        <v>4082</v>
      </c>
      <c r="K263" t="s">
        <v>74</v>
      </c>
      <c r="L263" t="s">
        <v>74</v>
      </c>
      <c r="M263" t="s">
        <v>77</v>
      </c>
      <c r="N263" t="s">
        <v>78</v>
      </c>
      <c r="O263" t="s">
        <v>74</v>
      </c>
      <c r="P263" t="s">
        <v>74</v>
      </c>
      <c r="Q263" t="s">
        <v>74</v>
      </c>
      <c r="R263" t="s">
        <v>74</v>
      </c>
      <c r="S263" t="s">
        <v>74</v>
      </c>
      <c r="T263" t="s">
        <v>74</v>
      </c>
      <c r="U263" t="s">
        <v>4083</v>
      </c>
      <c r="V263" t="s">
        <v>4084</v>
      </c>
      <c r="W263" t="s">
        <v>4085</v>
      </c>
      <c r="X263" t="s">
        <v>4086</v>
      </c>
      <c r="Y263" t="s">
        <v>4087</v>
      </c>
      <c r="Z263" t="s">
        <v>74</v>
      </c>
      <c r="AA263" t="s">
        <v>74</v>
      </c>
      <c r="AB263" t="s">
        <v>74</v>
      </c>
      <c r="AC263" t="s">
        <v>74</v>
      </c>
      <c r="AD263" t="s">
        <v>74</v>
      </c>
      <c r="AE263" t="s">
        <v>74</v>
      </c>
      <c r="AF263" t="s">
        <v>74</v>
      </c>
      <c r="AG263">
        <v>35</v>
      </c>
      <c r="AH263">
        <v>7</v>
      </c>
      <c r="AI263">
        <v>7</v>
      </c>
      <c r="AJ263">
        <v>1</v>
      </c>
      <c r="AK263">
        <v>2</v>
      </c>
      <c r="AL263" t="s">
        <v>110</v>
      </c>
      <c r="AM263" t="s">
        <v>111</v>
      </c>
      <c r="AN263" t="s">
        <v>112</v>
      </c>
      <c r="AO263" t="s">
        <v>4088</v>
      </c>
      <c r="AP263" t="s">
        <v>74</v>
      </c>
      <c r="AQ263" t="s">
        <v>74</v>
      </c>
      <c r="AR263" t="s">
        <v>4089</v>
      </c>
      <c r="AS263" t="s">
        <v>4090</v>
      </c>
      <c r="AT263" t="s">
        <v>4091</v>
      </c>
      <c r="AU263">
        <v>2003</v>
      </c>
      <c r="AV263">
        <v>376</v>
      </c>
      <c r="AW263" t="s">
        <v>4092</v>
      </c>
      <c r="AX263" t="s">
        <v>74</v>
      </c>
      <c r="AY263" t="s">
        <v>74</v>
      </c>
      <c r="AZ263" t="s">
        <v>74</v>
      </c>
      <c r="BA263" t="s">
        <v>74</v>
      </c>
      <c r="BB263">
        <v>581</v>
      </c>
      <c r="BC263">
        <v>587</v>
      </c>
      <c r="BD263" t="s">
        <v>74</v>
      </c>
      <c r="BE263" t="s">
        <v>4093</v>
      </c>
      <c r="BF263" t="str">
        <f>HYPERLINK("http://dx.doi.org/10.1016/S0009-2614(03)01037-6","http://dx.doi.org/10.1016/S0009-2614(03)01037-6")</f>
        <v>http://dx.doi.org/10.1016/S0009-2614(03)01037-6</v>
      </c>
      <c r="BG263" t="s">
        <v>74</v>
      </c>
      <c r="BH263" t="s">
        <v>74</v>
      </c>
      <c r="BI263">
        <v>7</v>
      </c>
      <c r="BJ263" t="s">
        <v>310</v>
      </c>
      <c r="BK263" t="s">
        <v>94</v>
      </c>
      <c r="BL263" t="s">
        <v>311</v>
      </c>
      <c r="BM263" t="s">
        <v>4094</v>
      </c>
      <c r="BN263" t="s">
        <v>74</v>
      </c>
      <c r="BO263" t="s">
        <v>74</v>
      </c>
      <c r="BP263" t="s">
        <v>74</v>
      </c>
      <c r="BQ263" t="s">
        <v>74</v>
      </c>
      <c r="BR263" t="s">
        <v>97</v>
      </c>
      <c r="BS263" t="s">
        <v>4095</v>
      </c>
      <c r="BT263" t="str">
        <f>HYPERLINK("https%3A%2F%2Fwww.webofscience.com%2Fwos%2Fwoscc%2Ffull-record%2FWOS:000184565900006","View Full Record in Web of Science")</f>
        <v>View Full Record in Web of Science</v>
      </c>
    </row>
    <row r="264" spans="1:72" x14ac:dyDescent="0.15">
      <c r="A264" t="s">
        <v>72</v>
      </c>
      <c r="B264" t="s">
        <v>4096</v>
      </c>
      <c r="C264" t="s">
        <v>74</v>
      </c>
      <c r="D264" t="s">
        <v>74</v>
      </c>
      <c r="E264" t="s">
        <v>74</v>
      </c>
      <c r="F264" t="s">
        <v>4096</v>
      </c>
      <c r="G264" t="s">
        <v>74</v>
      </c>
      <c r="H264" t="s">
        <v>74</v>
      </c>
      <c r="I264" t="s">
        <v>4097</v>
      </c>
      <c r="J264" t="s">
        <v>578</v>
      </c>
      <c r="K264" t="s">
        <v>74</v>
      </c>
      <c r="L264" t="s">
        <v>74</v>
      </c>
      <c r="M264" t="s">
        <v>77</v>
      </c>
      <c r="N264" t="s">
        <v>78</v>
      </c>
      <c r="O264" t="s">
        <v>74</v>
      </c>
      <c r="P264" t="s">
        <v>74</v>
      </c>
      <c r="Q264" t="s">
        <v>74</v>
      </c>
      <c r="R264" t="s">
        <v>74</v>
      </c>
      <c r="S264" t="s">
        <v>74</v>
      </c>
      <c r="T264" t="s">
        <v>4098</v>
      </c>
      <c r="U264" t="s">
        <v>4099</v>
      </c>
      <c r="V264" t="s">
        <v>4100</v>
      </c>
      <c r="W264" t="s">
        <v>4101</v>
      </c>
      <c r="X264" t="s">
        <v>4102</v>
      </c>
      <c r="Y264" t="s">
        <v>4103</v>
      </c>
      <c r="Z264" t="s">
        <v>4104</v>
      </c>
      <c r="AA264" t="s">
        <v>4105</v>
      </c>
      <c r="AB264" t="s">
        <v>4106</v>
      </c>
      <c r="AC264" t="s">
        <v>74</v>
      </c>
      <c r="AD264" t="s">
        <v>74</v>
      </c>
      <c r="AE264" t="s">
        <v>74</v>
      </c>
      <c r="AF264" t="s">
        <v>74</v>
      </c>
      <c r="AG264">
        <v>44</v>
      </c>
      <c r="AH264">
        <v>84</v>
      </c>
      <c r="AI264">
        <v>89</v>
      </c>
      <c r="AJ264">
        <v>0</v>
      </c>
      <c r="AK264">
        <v>8</v>
      </c>
      <c r="AL264" t="s">
        <v>539</v>
      </c>
      <c r="AM264" t="s">
        <v>540</v>
      </c>
      <c r="AN264" t="s">
        <v>541</v>
      </c>
      <c r="AO264" t="s">
        <v>588</v>
      </c>
      <c r="AP264" t="s">
        <v>605</v>
      </c>
      <c r="AQ264" t="s">
        <v>74</v>
      </c>
      <c r="AR264" t="s">
        <v>589</v>
      </c>
      <c r="AS264" t="s">
        <v>590</v>
      </c>
      <c r="AT264" t="s">
        <v>4107</v>
      </c>
      <c r="AU264">
        <v>2003</v>
      </c>
      <c r="AV264">
        <v>108</v>
      </c>
      <c r="AW264" t="s">
        <v>4108</v>
      </c>
      <c r="AX264" t="s">
        <v>74</v>
      </c>
      <c r="AY264" t="s">
        <v>74</v>
      </c>
      <c r="AZ264" t="s">
        <v>74</v>
      </c>
      <c r="BA264" t="s">
        <v>74</v>
      </c>
      <c r="BB264" t="s">
        <v>74</v>
      </c>
      <c r="BC264" t="s">
        <v>74</v>
      </c>
      <c r="BD264">
        <v>4429</v>
      </c>
      <c r="BE264" t="s">
        <v>4109</v>
      </c>
      <c r="BF264" t="str">
        <f>HYPERLINK("http://dx.doi.org/10.1029/2002JD002977","http://dx.doi.org/10.1029/2002JD002977")</f>
        <v>http://dx.doi.org/10.1029/2002JD002977</v>
      </c>
      <c r="BG264" t="s">
        <v>74</v>
      </c>
      <c r="BH264" t="s">
        <v>74</v>
      </c>
      <c r="BI264">
        <v>22</v>
      </c>
      <c r="BJ264" t="s">
        <v>93</v>
      </c>
      <c r="BK264" t="s">
        <v>94</v>
      </c>
      <c r="BL264" t="s">
        <v>93</v>
      </c>
      <c r="BM264" t="s">
        <v>4110</v>
      </c>
      <c r="BN264" t="s">
        <v>74</v>
      </c>
      <c r="BO264" t="s">
        <v>154</v>
      </c>
      <c r="BP264" t="s">
        <v>74</v>
      </c>
      <c r="BQ264" t="s">
        <v>74</v>
      </c>
      <c r="BR264" t="s">
        <v>97</v>
      </c>
      <c r="BS264" t="s">
        <v>4111</v>
      </c>
      <c r="BT264" t="str">
        <f>HYPERLINK("https%3A%2F%2Fwww.webofscience.com%2Fwos%2Fwoscc%2Ffull-record%2FWOS:000184706800007","View Full Record in Web of Science")</f>
        <v>View Full Record in Web of Science</v>
      </c>
    </row>
    <row r="265" spans="1:72" x14ac:dyDescent="0.15">
      <c r="A265" t="s">
        <v>72</v>
      </c>
      <c r="B265" t="s">
        <v>4112</v>
      </c>
      <c r="C265" t="s">
        <v>74</v>
      </c>
      <c r="D265" t="s">
        <v>74</v>
      </c>
      <c r="E265" t="s">
        <v>74</v>
      </c>
      <c r="F265" t="s">
        <v>4112</v>
      </c>
      <c r="G265" t="s">
        <v>74</v>
      </c>
      <c r="H265" t="s">
        <v>74</v>
      </c>
      <c r="I265" t="s">
        <v>4113</v>
      </c>
      <c r="J265" t="s">
        <v>578</v>
      </c>
      <c r="K265" t="s">
        <v>74</v>
      </c>
      <c r="L265" t="s">
        <v>74</v>
      </c>
      <c r="M265" t="s">
        <v>77</v>
      </c>
      <c r="N265" t="s">
        <v>78</v>
      </c>
      <c r="O265" t="s">
        <v>74</v>
      </c>
      <c r="P265" t="s">
        <v>74</v>
      </c>
      <c r="Q265" t="s">
        <v>74</v>
      </c>
      <c r="R265" t="s">
        <v>74</v>
      </c>
      <c r="S265" t="s">
        <v>74</v>
      </c>
      <c r="T265" t="s">
        <v>4114</v>
      </c>
      <c r="U265" t="s">
        <v>4115</v>
      </c>
      <c r="V265" t="s">
        <v>4116</v>
      </c>
      <c r="W265" t="s">
        <v>4117</v>
      </c>
      <c r="X265" t="s">
        <v>4118</v>
      </c>
      <c r="Y265" t="s">
        <v>4119</v>
      </c>
      <c r="Z265" t="s">
        <v>4120</v>
      </c>
      <c r="AA265" t="s">
        <v>4121</v>
      </c>
      <c r="AB265" t="s">
        <v>4122</v>
      </c>
      <c r="AC265" t="s">
        <v>74</v>
      </c>
      <c r="AD265" t="s">
        <v>74</v>
      </c>
      <c r="AE265" t="s">
        <v>74</v>
      </c>
      <c r="AF265" t="s">
        <v>74</v>
      </c>
      <c r="AG265">
        <v>46</v>
      </c>
      <c r="AH265">
        <v>9</v>
      </c>
      <c r="AI265">
        <v>11</v>
      </c>
      <c r="AJ265">
        <v>0</v>
      </c>
      <c r="AK265">
        <v>2</v>
      </c>
      <c r="AL265" t="s">
        <v>539</v>
      </c>
      <c r="AM265" t="s">
        <v>540</v>
      </c>
      <c r="AN265" t="s">
        <v>541</v>
      </c>
      <c r="AO265" t="s">
        <v>588</v>
      </c>
      <c r="AP265" t="s">
        <v>605</v>
      </c>
      <c r="AQ265" t="s">
        <v>74</v>
      </c>
      <c r="AR265" t="s">
        <v>589</v>
      </c>
      <c r="AS265" t="s">
        <v>590</v>
      </c>
      <c r="AT265" t="s">
        <v>4107</v>
      </c>
      <c r="AU265">
        <v>2003</v>
      </c>
      <c r="AV265">
        <v>108</v>
      </c>
      <c r="AW265" t="s">
        <v>4108</v>
      </c>
      <c r="AX265" t="s">
        <v>74</v>
      </c>
      <c r="AY265" t="s">
        <v>74</v>
      </c>
      <c r="AZ265" t="s">
        <v>74</v>
      </c>
      <c r="BA265" t="s">
        <v>74</v>
      </c>
      <c r="BB265" t="s">
        <v>74</v>
      </c>
      <c r="BC265" t="s">
        <v>74</v>
      </c>
      <c r="BD265">
        <v>4428</v>
      </c>
      <c r="BE265" t="s">
        <v>4123</v>
      </c>
      <c r="BF265" t="str">
        <f>HYPERLINK("http://dx.doi.org/10.1029/2002JD002871","http://dx.doi.org/10.1029/2002JD002871")</f>
        <v>http://dx.doi.org/10.1029/2002JD002871</v>
      </c>
      <c r="BG265" t="s">
        <v>74</v>
      </c>
      <c r="BH265" t="s">
        <v>74</v>
      </c>
      <c r="BI265">
        <v>11</v>
      </c>
      <c r="BJ265" t="s">
        <v>93</v>
      </c>
      <c r="BK265" t="s">
        <v>94</v>
      </c>
      <c r="BL265" t="s">
        <v>93</v>
      </c>
      <c r="BM265" t="s">
        <v>4110</v>
      </c>
      <c r="BN265" t="s">
        <v>74</v>
      </c>
      <c r="BO265" t="s">
        <v>96</v>
      </c>
      <c r="BP265" t="s">
        <v>74</v>
      </c>
      <c r="BQ265" t="s">
        <v>74</v>
      </c>
      <c r="BR265" t="s">
        <v>97</v>
      </c>
      <c r="BS265" t="s">
        <v>4124</v>
      </c>
      <c r="BT265" t="str">
        <f>HYPERLINK("https%3A%2F%2Fwww.webofscience.com%2Fwos%2Fwoscc%2Ffull-record%2FWOS:000184706800005","View Full Record in Web of Science")</f>
        <v>View Full Record in Web of Science</v>
      </c>
    </row>
    <row r="266" spans="1:72" x14ac:dyDescent="0.15">
      <c r="A266" t="s">
        <v>72</v>
      </c>
      <c r="B266" t="s">
        <v>4125</v>
      </c>
      <c r="C266" t="s">
        <v>74</v>
      </c>
      <c r="D266" t="s">
        <v>74</v>
      </c>
      <c r="E266" t="s">
        <v>74</v>
      </c>
      <c r="F266" t="s">
        <v>4125</v>
      </c>
      <c r="G266" t="s">
        <v>74</v>
      </c>
      <c r="H266" t="s">
        <v>74</v>
      </c>
      <c r="I266" t="s">
        <v>4126</v>
      </c>
      <c r="J266" t="s">
        <v>4127</v>
      </c>
      <c r="K266" t="s">
        <v>74</v>
      </c>
      <c r="L266" t="s">
        <v>74</v>
      </c>
      <c r="M266" t="s">
        <v>77</v>
      </c>
      <c r="N266" t="s">
        <v>78</v>
      </c>
      <c r="O266" t="s">
        <v>74</v>
      </c>
      <c r="P266" t="s">
        <v>74</v>
      </c>
      <c r="Q266" t="s">
        <v>74</v>
      </c>
      <c r="R266" t="s">
        <v>74</v>
      </c>
      <c r="S266" t="s">
        <v>74</v>
      </c>
      <c r="T266" t="s">
        <v>74</v>
      </c>
      <c r="U266" t="s">
        <v>4128</v>
      </c>
      <c r="V266" t="s">
        <v>4129</v>
      </c>
      <c r="W266" t="s">
        <v>4130</v>
      </c>
      <c r="X266" t="s">
        <v>4131</v>
      </c>
      <c r="Y266" t="s">
        <v>4132</v>
      </c>
      <c r="Z266" t="s">
        <v>4133</v>
      </c>
      <c r="AA266" t="s">
        <v>4134</v>
      </c>
      <c r="AB266" t="s">
        <v>4135</v>
      </c>
      <c r="AC266" t="s">
        <v>74</v>
      </c>
      <c r="AD266" t="s">
        <v>74</v>
      </c>
      <c r="AE266" t="s">
        <v>74</v>
      </c>
      <c r="AF266" t="s">
        <v>74</v>
      </c>
      <c r="AG266">
        <v>24</v>
      </c>
      <c r="AH266">
        <v>11</v>
      </c>
      <c r="AI266">
        <v>13</v>
      </c>
      <c r="AJ266">
        <v>0</v>
      </c>
      <c r="AK266">
        <v>10</v>
      </c>
      <c r="AL266" t="s">
        <v>169</v>
      </c>
      <c r="AM266" t="s">
        <v>170</v>
      </c>
      <c r="AN266" t="s">
        <v>171</v>
      </c>
      <c r="AO266" t="s">
        <v>4136</v>
      </c>
      <c r="AP266" t="s">
        <v>74</v>
      </c>
      <c r="AQ266" t="s">
        <v>74</v>
      </c>
      <c r="AR266" t="s">
        <v>4137</v>
      </c>
      <c r="AS266" t="s">
        <v>4138</v>
      </c>
      <c r="AT266" t="s">
        <v>4139</v>
      </c>
      <c r="AU266">
        <v>2003</v>
      </c>
      <c r="AV266">
        <v>44</v>
      </c>
      <c r="AW266">
        <v>31</v>
      </c>
      <c r="AX266" t="s">
        <v>74</v>
      </c>
      <c r="AY266" t="s">
        <v>74</v>
      </c>
      <c r="AZ266" t="s">
        <v>74</v>
      </c>
      <c r="BA266" t="s">
        <v>74</v>
      </c>
      <c r="BB266">
        <v>5939</v>
      </c>
      <c r="BC266">
        <v>5942</v>
      </c>
      <c r="BD266" t="s">
        <v>74</v>
      </c>
      <c r="BE266" t="s">
        <v>4140</v>
      </c>
      <c r="BF266" t="str">
        <f>HYPERLINK("http://dx.doi.org/10.1016/S0040-4039(03)01426-6","http://dx.doi.org/10.1016/S0040-4039(03)01426-6")</f>
        <v>http://dx.doi.org/10.1016/S0040-4039(03)01426-6</v>
      </c>
      <c r="BG266" t="s">
        <v>74</v>
      </c>
      <c r="BH266" t="s">
        <v>74</v>
      </c>
      <c r="BI266">
        <v>4</v>
      </c>
      <c r="BJ266" t="s">
        <v>4141</v>
      </c>
      <c r="BK266" t="s">
        <v>3339</v>
      </c>
      <c r="BL266" t="s">
        <v>4142</v>
      </c>
      <c r="BM266" t="s">
        <v>4143</v>
      </c>
      <c r="BN266" t="s">
        <v>74</v>
      </c>
      <c r="BO266" t="s">
        <v>74</v>
      </c>
      <c r="BP266" t="s">
        <v>74</v>
      </c>
      <c r="BQ266" t="s">
        <v>74</v>
      </c>
      <c r="BR266" t="s">
        <v>97</v>
      </c>
      <c r="BS266" t="s">
        <v>4144</v>
      </c>
      <c r="BT266" t="str">
        <f>HYPERLINK("https%3A%2F%2Fwww.webofscience.com%2Fwos%2Fwoscc%2Ffull-record%2FWOS:000184220600041","View Full Record in Web of Science")</f>
        <v>View Full Record in Web of Science</v>
      </c>
    </row>
    <row r="267" spans="1:72" x14ac:dyDescent="0.15">
      <c r="A267" t="s">
        <v>72</v>
      </c>
      <c r="B267" t="s">
        <v>4145</v>
      </c>
      <c r="C267" t="s">
        <v>74</v>
      </c>
      <c r="D267" t="s">
        <v>74</v>
      </c>
      <c r="E267" t="s">
        <v>74</v>
      </c>
      <c r="F267" t="s">
        <v>4145</v>
      </c>
      <c r="G267" t="s">
        <v>74</v>
      </c>
      <c r="H267" t="s">
        <v>74</v>
      </c>
      <c r="I267" t="s">
        <v>4146</v>
      </c>
      <c r="J267" t="s">
        <v>1033</v>
      </c>
      <c r="K267" t="s">
        <v>74</v>
      </c>
      <c r="L267" t="s">
        <v>74</v>
      </c>
      <c r="M267" t="s">
        <v>77</v>
      </c>
      <c r="N267" t="s">
        <v>78</v>
      </c>
      <c r="O267" t="s">
        <v>74</v>
      </c>
      <c r="P267" t="s">
        <v>74</v>
      </c>
      <c r="Q267" t="s">
        <v>74</v>
      </c>
      <c r="R267" t="s">
        <v>74</v>
      </c>
      <c r="S267" t="s">
        <v>74</v>
      </c>
      <c r="T267" t="s">
        <v>4147</v>
      </c>
      <c r="U267" t="s">
        <v>4148</v>
      </c>
      <c r="V267" t="s">
        <v>4149</v>
      </c>
      <c r="W267" t="s">
        <v>4150</v>
      </c>
      <c r="X267" t="s">
        <v>4151</v>
      </c>
      <c r="Y267" t="s">
        <v>4152</v>
      </c>
      <c r="Z267" t="s">
        <v>4153</v>
      </c>
      <c r="AA267" t="s">
        <v>4154</v>
      </c>
      <c r="AB267" t="s">
        <v>4155</v>
      </c>
      <c r="AC267" t="s">
        <v>74</v>
      </c>
      <c r="AD267" t="s">
        <v>74</v>
      </c>
      <c r="AE267" t="s">
        <v>74</v>
      </c>
      <c r="AF267" t="s">
        <v>74</v>
      </c>
      <c r="AG267">
        <v>44</v>
      </c>
      <c r="AH267">
        <v>104</v>
      </c>
      <c r="AI267">
        <v>124</v>
      </c>
      <c r="AJ267">
        <v>0</v>
      </c>
      <c r="AK267">
        <v>14</v>
      </c>
      <c r="AL267" t="s">
        <v>781</v>
      </c>
      <c r="AM267" t="s">
        <v>111</v>
      </c>
      <c r="AN267" t="s">
        <v>782</v>
      </c>
      <c r="AO267" t="s">
        <v>1043</v>
      </c>
      <c r="AP267" t="s">
        <v>1044</v>
      </c>
      <c r="AQ267" t="s">
        <v>74</v>
      </c>
      <c r="AR267" t="s">
        <v>1045</v>
      </c>
      <c r="AS267" t="s">
        <v>1046</v>
      </c>
      <c r="AT267" t="s">
        <v>4156</v>
      </c>
      <c r="AU267">
        <v>2003</v>
      </c>
      <c r="AV267">
        <v>212</v>
      </c>
      <c r="AW267" t="s">
        <v>116</v>
      </c>
      <c r="AX267" t="s">
        <v>74</v>
      </c>
      <c r="AY267" t="s">
        <v>74</v>
      </c>
      <c r="AZ267" t="s">
        <v>74</v>
      </c>
      <c r="BA267" t="s">
        <v>74</v>
      </c>
      <c r="BB267">
        <v>337</v>
      </c>
      <c r="BC267">
        <v>350</v>
      </c>
      <c r="BD267" t="s">
        <v>74</v>
      </c>
      <c r="BE267" t="s">
        <v>4157</v>
      </c>
      <c r="BF267" t="str">
        <f>HYPERLINK("http://dx.doi.org/10.1016/S0012-821X(03)00240-1","http://dx.doi.org/10.1016/S0012-821X(03)00240-1")</f>
        <v>http://dx.doi.org/10.1016/S0012-821X(03)00240-1</v>
      </c>
      <c r="BG267" t="s">
        <v>74</v>
      </c>
      <c r="BH267" t="s">
        <v>74</v>
      </c>
      <c r="BI267">
        <v>14</v>
      </c>
      <c r="BJ267" t="s">
        <v>176</v>
      </c>
      <c r="BK267" t="s">
        <v>94</v>
      </c>
      <c r="BL267" t="s">
        <v>176</v>
      </c>
      <c r="BM267" t="s">
        <v>4158</v>
      </c>
      <c r="BN267" t="s">
        <v>74</v>
      </c>
      <c r="BO267" t="s">
        <v>74</v>
      </c>
      <c r="BP267" t="s">
        <v>74</v>
      </c>
      <c r="BQ267" t="s">
        <v>74</v>
      </c>
      <c r="BR267" t="s">
        <v>97</v>
      </c>
      <c r="BS267" t="s">
        <v>4159</v>
      </c>
      <c r="BT267" t="str">
        <f>HYPERLINK("https%3A%2F%2Fwww.webofscience.com%2Fwos%2Fwoscc%2Ffull-record%2FWOS:000184383300007","View Full Record in Web of Science")</f>
        <v>View Full Record in Web of Science</v>
      </c>
    </row>
    <row r="268" spans="1:72" x14ac:dyDescent="0.15">
      <c r="A268" t="s">
        <v>72</v>
      </c>
      <c r="B268" t="s">
        <v>4160</v>
      </c>
      <c r="C268" t="s">
        <v>74</v>
      </c>
      <c r="D268" t="s">
        <v>74</v>
      </c>
      <c r="E268" t="s">
        <v>74</v>
      </c>
      <c r="F268" t="s">
        <v>4160</v>
      </c>
      <c r="G268" t="s">
        <v>74</v>
      </c>
      <c r="H268" t="s">
        <v>74</v>
      </c>
      <c r="I268" t="s">
        <v>4161</v>
      </c>
      <c r="J268" t="s">
        <v>4162</v>
      </c>
      <c r="K268" t="s">
        <v>74</v>
      </c>
      <c r="L268" t="s">
        <v>74</v>
      </c>
      <c r="M268" t="s">
        <v>77</v>
      </c>
      <c r="N268" t="s">
        <v>78</v>
      </c>
      <c r="O268" t="s">
        <v>74</v>
      </c>
      <c r="P268" t="s">
        <v>74</v>
      </c>
      <c r="Q268" t="s">
        <v>74</v>
      </c>
      <c r="R268" t="s">
        <v>74</v>
      </c>
      <c r="S268" t="s">
        <v>74</v>
      </c>
      <c r="T268" t="s">
        <v>4163</v>
      </c>
      <c r="U268" t="s">
        <v>4164</v>
      </c>
      <c r="V268" t="s">
        <v>4165</v>
      </c>
      <c r="W268" t="s">
        <v>4166</v>
      </c>
      <c r="X268" t="s">
        <v>4167</v>
      </c>
      <c r="Y268" t="s">
        <v>4168</v>
      </c>
      <c r="Z268" t="s">
        <v>74</v>
      </c>
      <c r="AA268" t="s">
        <v>4169</v>
      </c>
      <c r="AB268" t="s">
        <v>4170</v>
      </c>
      <c r="AC268" t="s">
        <v>74</v>
      </c>
      <c r="AD268" t="s">
        <v>74</v>
      </c>
      <c r="AE268" t="s">
        <v>74</v>
      </c>
      <c r="AF268" t="s">
        <v>74</v>
      </c>
      <c r="AG268">
        <v>29</v>
      </c>
      <c r="AH268">
        <v>96</v>
      </c>
      <c r="AI268">
        <v>103</v>
      </c>
      <c r="AJ268">
        <v>0</v>
      </c>
      <c r="AK268">
        <v>26</v>
      </c>
      <c r="AL268" t="s">
        <v>110</v>
      </c>
      <c r="AM268" t="s">
        <v>111</v>
      </c>
      <c r="AN268" t="s">
        <v>112</v>
      </c>
      <c r="AO268" t="s">
        <v>4171</v>
      </c>
      <c r="AP268" t="s">
        <v>74</v>
      </c>
      <c r="AQ268" t="s">
        <v>74</v>
      </c>
      <c r="AR268" t="s">
        <v>4172</v>
      </c>
      <c r="AS268" t="s">
        <v>4173</v>
      </c>
      <c r="AT268" t="s">
        <v>4156</v>
      </c>
      <c r="AU268">
        <v>2003</v>
      </c>
      <c r="AV268">
        <v>45</v>
      </c>
      <c r="AW268">
        <v>2</v>
      </c>
      <c r="AX268" t="s">
        <v>74</v>
      </c>
      <c r="AY268" t="s">
        <v>74</v>
      </c>
      <c r="AZ268" t="s">
        <v>74</v>
      </c>
      <c r="BA268" t="s">
        <v>74</v>
      </c>
      <c r="BB268">
        <v>135</v>
      </c>
      <c r="BC268">
        <v>145</v>
      </c>
      <c r="BD268" t="s">
        <v>74</v>
      </c>
      <c r="BE268" t="s">
        <v>4174</v>
      </c>
      <c r="BF268" t="str">
        <f>HYPERLINK("http://dx.doi.org/10.1016/S0168-6496(03)00135-1","http://dx.doi.org/10.1016/S0168-6496(03)00135-1")</f>
        <v>http://dx.doi.org/10.1016/S0168-6496(03)00135-1</v>
      </c>
      <c r="BG268" t="s">
        <v>74</v>
      </c>
      <c r="BH268" t="s">
        <v>74</v>
      </c>
      <c r="BI268">
        <v>11</v>
      </c>
      <c r="BJ268" t="s">
        <v>1912</v>
      </c>
      <c r="BK268" t="s">
        <v>94</v>
      </c>
      <c r="BL268" t="s">
        <v>1912</v>
      </c>
      <c r="BM268" t="s">
        <v>4175</v>
      </c>
      <c r="BN268">
        <v>19719624</v>
      </c>
      <c r="BO268" t="s">
        <v>96</v>
      </c>
      <c r="BP268" t="s">
        <v>74</v>
      </c>
      <c r="BQ268" t="s">
        <v>74</v>
      </c>
      <c r="BR268" t="s">
        <v>97</v>
      </c>
      <c r="BS268" t="s">
        <v>4176</v>
      </c>
      <c r="BT268" t="str">
        <f>HYPERLINK("https%3A%2F%2Fwww.webofscience.com%2Fwos%2Fwoscc%2Ffull-record%2FWOS:000184404700006","View Full Record in Web of Science")</f>
        <v>View Full Record in Web of Science</v>
      </c>
    </row>
    <row r="269" spans="1:72" x14ac:dyDescent="0.15">
      <c r="A269" t="s">
        <v>72</v>
      </c>
      <c r="B269" t="s">
        <v>4177</v>
      </c>
      <c r="C269" t="s">
        <v>74</v>
      </c>
      <c r="D269" t="s">
        <v>74</v>
      </c>
      <c r="E269" t="s">
        <v>74</v>
      </c>
      <c r="F269" t="s">
        <v>4177</v>
      </c>
      <c r="G269" t="s">
        <v>74</v>
      </c>
      <c r="H269" t="s">
        <v>74</v>
      </c>
      <c r="I269" t="s">
        <v>4178</v>
      </c>
      <c r="J269" t="s">
        <v>613</v>
      </c>
      <c r="K269" t="s">
        <v>74</v>
      </c>
      <c r="L269" t="s">
        <v>74</v>
      </c>
      <c r="M269" t="s">
        <v>77</v>
      </c>
      <c r="N269" t="s">
        <v>78</v>
      </c>
      <c r="O269" t="s">
        <v>74</v>
      </c>
      <c r="P269" t="s">
        <v>74</v>
      </c>
      <c r="Q269" t="s">
        <v>74</v>
      </c>
      <c r="R269" t="s">
        <v>74</v>
      </c>
      <c r="S269" t="s">
        <v>74</v>
      </c>
      <c r="T269" t="s">
        <v>4179</v>
      </c>
      <c r="U269" t="s">
        <v>4180</v>
      </c>
      <c r="V269" t="s">
        <v>4181</v>
      </c>
      <c r="W269" t="s">
        <v>4182</v>
      </c>
      <c r="X269" t="s">
        <v>4183</v>
      </c>
      <c r="Y269" t="s">
        <v>4184</v>
      </c>
      <c r="Z269" t="s">
        <v>4185</v>
      </c>
      <c r="AA269" t="s">
        <v>4186</v>
      </c>
      <c r="AB269" t="s">
        <v>4187</v>
      </c>
      <c r="AC269" t="s">
        <v>74</v>
      </c>
      <c r="AD269" t="s">
        <v>74</v>
      </c>
      <c r="AE269" t="s">
        <v>74</v>
      </c>
      <c r="AF269" t="s">
        <v>74</v>
      </c>
      <c r="AG269">
        <v>74</v>
      </c>
      <c r="AH269">
        <v>119</v>
      </c>
      <c r="AI269">
        <v>129</v>
      </c>
      <c r="AJ269">
        <v>0</v>
      </c>
      <c r="AK269">
        <v>29</v>
      </c>
      <c r="AL269" t="s">
        <v>539</v>
      </c>
      <c r="AM269" t="s">
        <v>540</v>
      </c>
      <c r="AN269" t="s">
        <v>541</v>
      </c>
      <c r="AO269" t="s">
        <v>621</v>
      </c>
      <c r="AP269" t="s">
        <v>622</v>
      </c>
      <c r="AQ269" t="s">
        <v>74</v>
      </c>
      <c r="AR269" t="s">
        <v>613</v>
      </c>
      <c r="AS269" t="s">
        <v>623</v>
      </c>
      <c r="AT269" t="s">
        <v>4188</v>
      </c>
      <c r="AU269">
        <v>2003</v>
      </c>
      <c r="AV269">
        <v>18</v>
      </c>
      <c r="AW269">
        <v>3</v>
      </c>
      <c r="AX269" t="s">
        <v>74</v>
      </c>
      <c r="AY269" t="s">
        <v>74</v>
      </c>
      <c r="AZ269" t="s">
        <v>74</v>
      </c>
      <c r="BA269" t="s">
        <v>74</v>
      </c>
      <c r="BB269" t="s">
        <v>74</v>
      </c>
      <c r="BC269" t="s">
        <v>74</v>
      </c>
      <c r="BD269">
        <v>1061</v>
      </c>
      <c r="BE269" t="s">
        <v>4189</v>
      </c>
      <c r="BF269" t="str">
        <f>HYPERLINK("http://dx.doi.org/10.1029/2002PA000809","http://dx.doi.org/10.1029/2002PA000809")</f>
        <v>http://dx.doi.org/10.1029/2002PA000809</v>
      </c>
      <c r="BG269" t="s">
        <v>74</v>
      </c>
      <c r="BH269" t="s">
        <v>74</v>
      </c>
      <c r="BI269">
        <v>18</v>
      </c>
      <c r="BJ269" t="s">
        <v>625</v>
      </c>
      <c r="BK269" t="s">
        <v>94</v>
      </c>
      <c r="BL269" t="s">
        <v>626</v>
      </c>
      <c r="BM269" t="s">
        <v>4190</v>
      </c>
      <c r="BN269" t="s">
        <v>74</v>
      </c>
      <c r="BO269" t="s">
        <v>96</v>
      </c>
      <c r="BP269" t="s">
        <v>74</v>
      </c>
      <c r="BQ269" t="s">
        <v>74</v>
      </c>
      <c r="BR269" t="s">
        <v>97</v>
      </c>
      <c r="BS269" t="s">
        <v>4191</v>
      </c>
      <c r="BT269" t="str">
        <f>HYPERLINK("https%3A%2F%2Fwww.webofscience.com%2Fwos%2Fwoscc%2Ffull-record%2FWOS:000184701400001","View Full Record in Web of Science")</f>
        <v>View Full Record in Web of Science</v>
      </c>
    </row>
    <row r="270" spans="1:72" x14ac:dyDescent="0.15">
      <c r="A270" t="s">
        <v>72</v>
      </c>
      <c r="B270" t="s">
        <v>4192</v>
      </c>
      <c r="C270" t="s">
        <v>74</v>
      </c>
      <c r="D270" t="s">
        <v>74</v>
      </c>
      <c r="E270" t="s">
        <v>74</v>
      </c>
      <c r="F270" t="s">
        <v>4192</v>
      </c>
      <c r="G270" t="s">
        <v>74</v>
      </c>
      <c r="H270" t="s">
        <v>74</v>
      </c>
      <c r="I270" t="s">
        <v>4193</v>
      </c>
      <c r="J270" t="s">
        <v>530</v>
      </c>
      <c r="K270" t="s">
        <v>74</v>
      </c>
      <c r="L270" t="s">
        <v>74</v>
      </c>
      <c r="M270" t="s">
        <v>77</v>
      </c>
      <c r="N270" t="s">
        <v>78</v>
      </c>
      <c r="O270" t="s">
        <v>74</v>
      </c>
      <c r="P270" t="s">
        <v>74</v>
      </c>
      <c r="Q270" t="s">
        <v>74</v>
      </c>
      <c r="R270" t="s">
        <v>74</v>
      </c>
      <c r="S270" t="s">
        <v>74</v>
      </c>
      <c r="T270" t="s">
        <v>4194</v>
      </c>
      <c r="U270" t="s">
        <v>4195</v>
      </c>
      <c r="V270" t="s">
        <v>4196</v>
      </c>
      <c r="W270" t="s">
        <v>4197</v>
      </c>
      <c r="X270" t="s">
        <v>4198</v>
      </c>
      <c r="Y270" t="s">
        <v>4199</v>
      </c>
      <c r="Z270" t="s">
        <v>74</v>
      </c>
      <c r="AA270" t="s">
        <v>4200</v>
      </c>
      <c r="AB270" t="s">
        <v>74</v>
      </c>
      <c r="AC270" t="s">
        <v>74</v>
      </c>
      <c r="AD270" t="s">
        <v>74</v>
      </c>
      <c r="AE270" t="s">
        <v>74</v>
      </c>
      <c r="AF270" t="s">
        <v>74</v>
      </c>
      <c r="AG270">
        <v>15</v>
      </c>
      <c r="AH270">
        <v>15</v>
      </c>
      <c r="AI270">
        <v>15</v>
      </c>
      <c r="AJ270">
        <v>0</v>
      </c>
      <c r="AK270">
        <v>7</v>
      </c>
      <c r="AL270" t="s">
        <v>539</v>
      </c>
      <c r="AM270" t="s">
        <v>540</v>
      </c>
      <c r="AN270" t="s">
        <v>541</v>
      </c>
      <c r="AO270" t="s">
        <v>542</v>
      </c>
      <c r="AP270" t="s">
        <v>74</v>
      </c>
      <c r="AQ270" t="s">
        <v>74</v>
      </c>
      <c r="AR270" t="s">
        <v>544</v>
      </c>
      <c r="AS270" t="s">
        <v>545</v>
      </c>
      <c r="AT270" t="s">
        <v>4201</v>
      </c>
      <c r="AU270">
        <v>2003</v>
      </c>
      <c r="AV270">
        <v>30</v>
      </c>
      <c r="AW270">
        <v>14</v>
      </c>
      <c r="AX270" t="s">
        <v>74</v>
      </c>
      <c r="AY270" t="s">
        <v>74</v>
      </c>
      <c r="AZ270" t="s">
        <v>74</v>
      </c>
      <c r="BA270" t="s">
        <v>74</v>
      </c>
      <c r="BB270" t="s">
        <v>74</v>
      </c>
      <c r="BC270" t="s">
        <v>74</v>
      </c>
      <c r="BD270">
        <v>1743</v>
      </c>
      <c r="BE270" t="s">
        <v>4202</v>
      </c>
      <c r="BF270" t="str">
        <f>HYPERLINK("http://dx.doi.org/10.1029/2003GL017645","http://dx.doi.org/10.1029/2003GL017645")</f>
        <v>http://dx.doi.org/10.1029/2003GL017645</v>
      </c>
      <c r="BG270" t="s">
        <v>74</v>
      </c>
      <c r="BH270" t="s">
        <v>74</v>
      </c>
      <c r="BI270">
        <v>4</v>
      </c>
      <c r="BJ270" t="s">
        <v>548</v>
      </c>
      <c r="BK270" t="s">
        <v>94</v>
      </c>
      <c r="BL270" t="s">
        <v>549</v>
      </c>
      <c r="BM270" t="s">
        <v>4203</v>
      </c>
      <c r="BN270" t="s">
        <v>74</v>
      </c>
      <c r="BO270" t="s">
        <v>628</v>
      </c>
      <c r="BP270" t="s">
        <v>74</v>
      </c>
      <c r="BQ270" t="s">
        <v>74</v>
      </c>
      <c r="BR270" t="s">
        <v>97</v>
      </c>
      <c r="BS270" t="s">
        <v>4204</v>
      </c>
      <c r="BT270" t="str">
        <f>HYPERLINK("https%3A%2F%2Fwww.webofscience.com%2Fwos%2Fwoscc%2Ffull-record%2FWOS:000184609500004","View Full Record in Web of Science")</f>
        <v>View Full Record in Web of Science</v>
      </c>
    </row>
    <row r="271" spans="1:72" x14ac:dyDescent="0.15">
      <c r="A271" t="s">
        <v>72</v>
      </c>
      <c r="B271" t="s">
        <v>4205</v>
      </c>
      <c r="C271" t="s">
        <v>74</v>
      </c>
      <c r="D271" t="s">
        <v>74</v>
      </c>
      <c r="E271" t="s">
        <v>74</v>
      </c>
      <c r="F271" t="s">
        <v>4206</v>
      </c>
      <c r="G271" t="s">
        <v>74</v>
      </c>
      <c r="H271" t="s">
        <v>74</v>
      </c>
      <c r="I271" t="s">
        <v>4207</v>
      </c>
      <c r="J271" t="s">
        <v>4208</v>
      </c>
      <c r="K271" t="s">
        <v>74</v>
      </c>
      <c r="L271" t="s">
        <v>74</v>
      </c>
      <c r="M271" t="s">
        <v>77</v>
      </c>
      <c r="N271" t="s">
        <v>78</v>
      </c>
      <c r="O271" t="s">
        <v>74</v>
      </c>
      <c r="P271" t="s">
        <v>74</v>
      </c>
      <c r="Q271" t="s">
        <v>74</v>
      </c>
      <c r="R271" t="s">
        <v>74</v>
      </c>
      <c r="S271" t="s">
        <v>74</v>
      </c>
      <c r="T271" t="s">
        <v>4209</v>
      </c>
      <c r="U271" t="s">
        <v>74</v>
      </c>
      <c r="V271" t="s">
        <v>4210</v>
      </c>
      <c r="W271" t="s">
        <v>4211</v>
      </c>
      <c r="X271" t="s">
        <v>4212</v>
      </c>
      <c r="Y271" t="s">
        <v>4213</v>
      </c>
      <c r="Z271" t="s">
        <v>4214</v>
      </c>
      <c r="AA271" t="s">
        <v>2595</v>
      </c>
      <c r="AB271" t="s">
        <v>2596</v>
      </c>
      <c r="AC271" t="s">
        <v>4215</v>
      </c>
      <c r="AD271" t="s">
        <v>4216</v>
      </c>
      <c r="AE271" t="s">
        <v>4217</v>
      </c>
      <c r="AF271" t="s">
        <v>74</v>
      </c>
      <c r="AG271">
        <v>33</v>
      </c>
      <c r="AH271">
        <v>156</v>
      </c>
      <c r="AI271">
        <v>166</v>
      </c>
      <c r="AJ271">
        <v>0</v>
      </c>
      <c r="AK271">
        <v>9</v>
      </c>
      <c r="AL271" t="s">
        <v>539</v>
      </c>
      <c r="AM271" t="s">
        <v>540</v>
      </c>
      <c r="AN271" t="s">
        <v>541</v>
      </c>
      <c r="AO271" t="s">
        <v>4218</v>
      </c>
      <c r="AP271" t="s">
        <v>4219</v>
      </c>
      <c r="AQ271" t="s">
        <v>74</v>
      </c>
      <c r="AR271" t="s">
        <v>4220</v>
      </c>
      <c r="AS271" t="s">
        <v>4221</v>
      </c>
      <c r="AT271" t="s">
        <v>4222</v>
      </c>
      <c r="AU271">
        <v>2003</v>
      </c>
      <c r="AV271">
        <v>108</v>
      </c>
      <c r="AW271" t="s">
        <v>4223</v>
      </c>
      <c r="AX271" t="s">
        <v>74</v>
      </c>
      <c r="AY271" t="s">
        <v>74</v>
      </c>
      <c r="AZ271" t="s">
        <v>74</v>
      </c>
      <c r="BA271" t="s">
        <v>74</v>
      </c>
      <c r="BB271" t="s">
        <v>74</v>
      </c>
      <c r="BC271" t="s">
        <v>74</v>
      </c>
      <c r="BD271">
        <v>1290</v>
      </c>
      <c r="BE271" t="s">
        <v>4224</v>
      </c>
      <c r="BF271" t="str">
        <f>HYPERLINK("http://dx.doi.org/10.1029/2002JA009736","http://dx.doi.org/10.1029/2002JA009736")</f>
        <v>http://dx.doi.org/10.1029/2002JA009736</v>
      </c>
      <c r="BG271" t="s">
        <v>74</v>
      </c>
      <c r="BH271" t="s">
        <v>74</v>
      </c>
      <c r="BI271">
        <v>12</v>
      </c>
      <c r="BJ271" t="s">
        <v>1333</v>
      </c>
      <c r="BK271" t="s">
        <v>94</v>
      </c>
      <c r="BL271" t="s">
        <v>1333</v>
      </c>
      <c r="BM271" t="s">
        <v>4225</v>
      </c>
      <c r="BN271" t="s">
        <v>74</v>
      </c>
      <c r="BO271" t="s">
        <v>96</v>
      </c>
      <c r="BP271" t="s">
        <v>74</v>
      </c>
      <c r="BQ271" t="s">
        <v>74</v>
      </c>
      <c r="BR271" t="s">
        <v>97</v>
      </c>
      <c r="BS271" t="s">
        <v>4226</v>
      </c>
      <c r="BT271" t="str">
        <f>HYPERLINK("https%3A%2F%2Fwww.webofscience.com%2Fwos%2Fwoscc%2Ffull-record%2FWOS:000206301300005","View Full Record in Web of Science")</f>
        <v>View Full Record in Web of Science</v>
      </c>
    </row>
    <row r="272" spans="1:72" x14ac:dyDescent="0.15">
      <c r="A272" t="s">
        <v>72</v>
      </c>
      <c r="B272" t="s">
        <v>4227</v>
      </c>
      <c r="C272" t="s">
        <v>74</v>
      </c>
      <c r="D272" t="s">
        <v>74</v>
      </c>
      <c r="E272" t="s">
        <v>74</v>
      </c>
      <c r="F272" t="s">
        <v>4227</v>
      </c>
      <c r="G272" t="s">
        <v>74</v>
      </c>
      <c r="H272" t="s">
        <v>74</v>
      </c>
      <c r="I272" t="s">
        <v>4228</v>
      </c>
      <c r="J272" t="s">
        <v>665</v>
      </c>
      <c r="K272" t="s">
        <v>74</v>
      </c>
      <c r="L272" t="s">
        <v>74</v>
      </c>
      <c r="M272" t="s">
        <v>77</v>
      </c>
      <c r="N272" t="s">
        <v>78</v>
      </c>
      <c r="O272" t="s">
        <v>74</v>
      </c>
      <c r="P272" t="s">
        <v>74</v>
      </c>
      <c r="Q272" t="s">
        <v>74</v>
      </c>
      <c r="R272" t="s">
        <v>74</v>
      </c>
      <c r="S272" t="s">
        <v>74</v>
      </c>
      <c r="T272" t="s">
        <v>4229</v>
      </c>
      <c r="U272" t="s">
        <v>4230</v>
      </c>
      <c r="V272" t="s">
        <v>4231</v>
      </c>
      <c r="W272" t="s">
        <v>4232</v>
      </c>
      <c r="X272" t="s">
        <v>3474</v>
      </c>
      <c r="Y272" t="s">
        <v>4233</v>
      </c>
      <c r="Z272" t="s">
        <v>4234</v>
      </c>
      <c r="AA272" t="s">
        <v>4235</v>
      </c>
      <c r="AB272" t="s">
        <v>4236</v>
      </c>
      <c r="AC272" t="s">
        <v>74</v>
      </c>
      <c r="AD272" t="s">
        <v>74</v>
      </c>
      <c r="AE272" t="s">
        <v>74</v>
      </c>
      <c r="AF272" t="s">
        <v>74</v>
      </c>
      <c r="AG272">
        <v>30</v>
      </c>
      <c r="AH272">
        <v>56</v>
      </c>
      <c r="AI272">
        <v>58</v>
      </c>
      <c r="AJ272">
        <v>0</v>
      </c>
      <c r="AK272">
        <v>7</v>
      </c>
      <c r="AL272" t="s">
        <v>539</v>
      </c>
      <c r="AM272" t="s">
        <v>540</v>
      </c>
      <c r="AN272" t="s">
        <v>541</v>
      </c>
      <c r="AO272" t="s">
        <v>672</v>
      </c>
      <c r="AP272" t="s">
        <v>673</v>
      </c>
      <c r="AQ272" t="s">
        <v>74</v>
      </c>
      <c r="AR272" t="s">
        <v>674</v>
      </c>
      <c r="AS272" t="s">
        <v>675</v>
      </c>
      <c r="AT272" t="s">
        <v>4237</v>
      </c>
      <c r="AU272">
        <v>2003</v>
      </c>
      <c r="AV272">
        <v>108</v>
      </c>
      <c r="AW272" t="s">
        <v>4238</v>
      </c>
      <c r="AX272" t="s">
        <v>74</v>
      </c>
      <c r="AY272" t="s">
        <v>74</v>
      </c>
      <c r="AZ272" t="s">
        <v>74</v>
      </c>
      <c r="BA272" t="s">
        <v>74</v>
      </c>
      <c r="BB272" t="s">
        <v>74</v>
      </c>
      <c r="BC272" t="s">
        <v>74</v>
      </c>
      <c r="BD272">
        <v>3235</v>
      </c>
      <c r="BE272" t="s">
        <v>4239</v>
      </c>
      <c r="BF272" t="str">
        <f>HYPERLINK("http://dx.doi.org/10.1029/2002JC001673","http://dx.doi.org/10.1029/2002JC001673")</f>
        <v>http://dx.doi.org/10.1029/2002JC001673</v>
      </c>
      <c r="BG272" t="s">
        <v>74</v>
      </c>
      <c r="BH272" t="s">
        <v>74</v>
      </c>
      <c r="BI272">
        <v>13</v>
      </c>
      <c r="BJ272" t="s">
        <v>678</v>
      </c>
      <c r="BK272" t="s">
        <v>94</v>
      </c>
      <c r="BL272" t="s">
        <v>678</v>
      </c>
      <c r="BM272" t="s">
        <v>4240</v>
      </c>
      <c r="BN272" t="s">
        <v>74</v>
      </c>
      <c r="BO272" t="s">
        <v>96</v>
      </c>
      <c r="BP272" t="s">
        <v>74</v>
      </c>
      <c r="BQ272" t="s">
        <v>74</v>
      </c>
      <c r="BR272" t="s">
        <v>97</v>
      </c>
      <c r="BS272" t="s">
        <v>4241</v>
      </c>
      <c r="BT272" t="str">
        <f>HYPERLINK("https%3A%2F%2Fwww.webofscience.com%2Fwos%2Fwoscc%2Ffull-record%2FWOS:000184605900003","View Full Record in Web of Science")</f>
        <v>View Full Record in Web of Science</v>
      </c>
    </row>
    <row r="273" spans="1:72" x14ac:dyDescent="0.15">
      <c r="A273" t="s">
        <v>72</v>
      </c>
      <c r="B273" t="s">
        <v>4242</v>
      </c>
      <c r="C273" t="s">
        <v>74</v>
      </c>
      <c r="D273" t="s">
        <v>74</v>
      </c>
      <c r="E273" t="s">
        <v>74</v>
      </c>
      <c r="F273" t="s">
        <v>4242</v>
      </c>
      <c r="G273" t="s">
        <v>74</v>
      </c>
      <c r="H273" t="s">
        <v>74</v>
      </c>
      <c r="I273" t="s">
        <v>4243</v>
      </c>
      <c r="J273" t="s">
        <v>665</v>
      </c>
      <c r="K273" t="s">
        <v>74</v>
      </c>
      <c r="L273" t="s">
        <v>74</v>
      </c>
      <c r="M273" t="s">
        <v>77</v>
      </c>
      <c r="N273" t="s">
        <v>78</v>
      </c>
      <c r="O273" t="s">
        <v>74</v>
      </c>
      <c r="P273" t="s">
        <v>74</v>
      </c>
      <c r="Q273" t="s">
        <v>74</v>
      </c>
      <c r="R273" t="s">
        <v>74</v>
      </c>
      <c r="S273" t="s">
        <v>74</v>
      </c>
      <c r="T273" t="s">
        <v>4244</v>
      </c>
      <c r="U273" t="s">
        <v>4245</v>
      </c>
      <c r="V273" t="s">
        <v>4246</v>
      </c>
      <c r="W273" t="s">
        <v>4247</v>
      </c>
      <c r="X273" t="s">
        <v>4248</v>
      </c>
      <c r="Y273" t="s">
        <v>4249</v>
      </c>
      <c r="Z273" t="s">
        <v>4250</v>
      </c>
      <c r="AA273" t="s">
        <v>74</v>
      </c>
      <c r="AB273" t="s">
        <v>74</v>
      </c>
      <c r="AC273" t="s">
        <v>74</v>
      </c>
      <c r="AD273" t="s">
        <v>74</v>
      </c>
      <c r="AE273" t="s">
        <v>74</v>
      </c>
      <c r="AF273" t="s">
        <v>74</v>
      </c>
      <c r="AG273">
        <v>59</v>
      </c>
      <c r="AH273">
        <v>25</v>
      </c>
      <c r="AI273">
        <v>31</v>
      </c>
      <c r="AJ273">
        <v>1</v>
      </c>
      <c r="AK273">
        <v>4</v>
      </c>
      <c r="AL273" t="s">
        <v>539</v>
      </c>
      <c r="AM273" t="s">
        <v>540</v>
      </c>
      <c r="AN273" t="s">
        <v>541</v>
      </c>
      <c r="AO273" t="s">
        <v>672</v>
      </c>
      <c r="AP273" t="s">
        <v>673</v>
      </c>
      <c r="AQ273" t="s">
        <v>74</v>
      </c>
      <c r="AR273" t="s">
        <v>674</v>
      </c>
      <c r="AS273" t="s">
        <v>675</v>
      </c>
      <c r="AT273" t="s">
        <v>4237</v>
      </c>
      <c r="AU273">
        <v>2003</v>
      </c>
      <c r="AV273">
        <v>108</v>
      </c>
      <c r="AW273" t="s">
        <v>4238</v>
      </c>
      <c r="AX273" t="s">
        <v>74</v>
      </c>
      <c r="AY273" t="s">
        <v>74</v>
      </c>
      <c r="AZ273" t="s">
        <v>74</v>
      </c>
      <c r="BA273" t="s">
        <v>74</v>
      </c>
      <c r="BB273" t="s">
        <v>74</v>
      </c>
      <c r="BC273" t="s">
        <v>74</v>
      </c>
      <c r="BD273">
        <v>3232</v>
      </c>
      <c r="BE273" t="s">
        <v>4251</v>
      </c>
      <c r="BF273" t="str">
        <f>HYPERLINK("http://dx.doi.org/10.1029/2001JC000878","http://dx.doi.org/10.1029/2001JC000878")</f>
        <v>http://dx.doi.org/10.1029/2001JC000878</v>
      </c>
      <c r="BG273" t="s">
        <v>74</v>
      </c>
      <c r="BH273" t="s">
        <v>74</v>
      </c>
      <c r="BI273">
        <v>13</v>
      </c>
      <c r="BJ273" t="s">
        <v>678</v>
      </c>
      <c r="BK273" t="s">
        <v>94</v>
      </c>
      <c r="BL273" t="s">
        <v>678</v>
      </c>
      <c r="BM273" t="s">
        <v>4240</v>
      </c>
      <c r="BN273" t="s">
        <v>74</v>
      </c>
      <c r="BO273" t="s">
        <v>96</v>
      </c>
      <c r="BP273" t="s">
        <v>74</v>
      </c>
      <c r="BQ273" t="s">
        <v>74</v>
      </c>
      <c r="BR273" t="s">
        <v>97</v>
      </c>
      <c r="BS273" t="s">
        <v>4252</v>
      </c>
      <c r="BT273" t="str">
        <f>HYPERLINK("https%3A%2F%2Fwww.webofscience.com%2Fwos%2Fwoscc%2Ffull-record%2FWOS:000184605900001","View Full Record in Web of Science")</f>
        <v>View Full Record in Web of Science</v>
      </c>
    </row>
    <row r="274" spans="1:72" x14ac:dyDescent="0.15">
      <c r="A274" t="s">
        <v>72</v>
      </c>
      <c r="B274" t="s">
        <v>4253</v>
      </c>
      <c r="C274" t="s">
        <v>74</v>
      </c>
      <c r="D274" t="s">
        <v>74</v>
      </c>
      <c r="E274" t="s">
        <v>74</v>
      </c>
      <c r="F274" t="s">
        <v>4253</v>
      </c>
      <c r="G274" t="s">
        <v>74</v>
      </c>
      <c r="H274" t="s">
        <v>74</v>
      </c>
      <c r="I274" t="s">
        <v>4254</v>
      </c>
      <c r="J274" t="s">
        <v>578</v>
      </c>
      <c r="K274" t="s">
        <v>74</v>
      </c>
      <c r="L274" t="s">
        <v>74</v>
      </c>
      <c r="M274" t="s">
        <v>77</v>
      </c>
      <c r="N274" t="s">
        <v>78</v>
      </c>
      <c r="O274" t="s">
        <v>74</v>
      </c>
      <c r="P274" t="s">
        <v>74</v>
      </c>
      <c r="Q274" t="s">
        <v>74</v>
      </c>
      <c r="R274" t="s">
        <v>74</v>
      </c>
      <c r="S274" t="s">
        <v>74</v>
      </c>
      <c r="T274" t="s">
        <v>4255</v>
      </c>
      <c r="U274" t="s">
        <v>4256</v>
      </c>
      <c r="V274" t="s">
        <v>4257</v>
      </c>
      <c r="W274" t="s">
        <v>4258</v>
      </c>
      <c r="X274" t="s">
        <v>4259</v>
      </c>
      <c r="Y274" t="s">
        <v>4260</v>
      </c>
      <c r="Z274" t="s">
        <v>4261</v>
      </c>
      <c r="AA274" t="s">
        <v>4262</v>
      </c>
      <c r="AB274" t="s">
        <v>4263</v>
      </c>
      <c r="AC274" t="s">
        <v>74</v>
      </c>
      <c r="AD274" t="s">
        <v>74</v>
      </c>
      <c r="AE274" t="s">
        <v>74</v>
      </c>
      <c r="AF274" t="s">
        <v>74</v>
      </c>
      <c r="AG274">
        <v>59</v>
      </c>
      <c r="AH274">
        <v>37</v>
      </c>
      <c r="AI274">
        <v>38</v>
      </c>
      <c r="AJ274">
        <v>0</v>
      </c>
      <c r="AK274">
        <v>11</v>
      </c>
      <c r="AL274" t="s">
        <v>539</v>
      </c>
      <c r="AM274" t="s">
        <v>540</v>
      </c>
      <c r="AN274" t="s">
        <v>541</v>
      </c>
      <c r="AO274" t="s">
        <v>588</v>
      </c>
      <c r="AP274" t="s">
        <v>605</v>
      </c>
      <c r="AQ274" t="s">
        <v>74</v>
      </c>
      <c r="AR274" t="s">
        <v>589</v>
      </c>
      <c r="AS274" t="s">
        <v>590</v>
      </c>
      <c r="AT274" t="s">
        <v>4264</v>
      </c>
      <c r="AU274">
        <v>2003</v>
      </c>
      <c r="AV274">
        <v>108</v>
      </c>
      <c r="AW274" t="s">
        <v>2622</v>
      </c>
      <c r="AX274" t="s">
        <v>74</v>
      </c>
      <c r="AY274" t="s">
        <v>74</v>
      </c>
      <c r="AZ274" t="s">
        <v>74</v>
      </c>
      <c r="BA274" t="s">
        <v>74</v>
      </c>
      <c r="BB274" t="s">
        <v>74</v>
      </c>
      <c r="BC274" t="s">
        <v>74</v>
      </c>
      <c r="BD274">
        <v>8543</v>
      </c>
      <c r="BE274" t="s">
        <v>4265</v>
      </c>
      <c r="BF274" t="str">
        <f>HYPERLINK("http://dx.doi.org/10.1029/2002JD002891","http://dx.doi.org/10.1029/2002JD002891")</f>
        <v>http://dx.doi.org/10.1029/2002JD002891</v>
      </c>
      <c r="BG274" t="s">
        <v>74</v>
      </c>
      <c r="BH274" t="s">
        <v>74</v>
      </c>
      <c r="BI274">
        <v>20</v>
      </c>
      <c r="BJ274" t="s">
        <v>93</v>
      </c>
      <c r="BK274" t="s">
        <v>94</v>
      </c>
      <c r="BL274" t="s">
        <v>93</v>
      </c>
      <c r="BM274" t="s">
        <v>4266</v>
      </c>
      <c r="BN274" t="s">
        <v>74</v>
      </c>
      <c r="BO274" t="s">
        <v>141</v>
      </c>
      <c r="BP274" t="s">
        <v>74</v>
      </c>
      <c r="BQ274" t="s">
        <v>74</v>
      </c>
      <c r="BR274" t="s">
        <v>97</v>
      </c>
      <c r="BS274" t="s">
        <v>4267</v>
      </c>
      <c r="BT274" t="str">
        <f>HYPERLINK("https%3A%2F%2Fwww.webofscience.com%2Fwos%2Fwoscc%2Ffull-record%2FWOS:000184604300001","View Full Record in Web of Science")</f>
        <v>View Full Record in Web of Science</v>
      </c>
    </row>
    <row r="275" spans="1:72" x14ac:dyDescent="0.15">
      <c r="A275" t="s">
        <v>72</v>
      </c>
      <c r="B275" t="s">
        <v>4268</v>
      </c>
      <c r="C275" t="s">
        <v>74</v>
      </c>
      <c r="D275" t="s">
        <v>74</v>
      </c>
      <c r="E275" t="s">
        <v>74</v>
      </c>
      <c r="F275" t="s">
        <v>4268</v>
      </c>
      <c r="G275" t="s">
        <v>74</v>
      </c>
      <c r="H275" t="s">
        <v>74</v>
      </c>
      <c r="I275" t="s">
        <v>4269</v>
      </c>
      <c r="J275" t="s">
        <v>578</v>
      </c>
      <c r="K275" t="s">
        <v>74</v>
      </c>
      <c r="L275" t="s">
        <v>74</v>
      </c>
      <c r="M275" t="s">
        <v>77</v>
      </c>
      <c r="N275" t="s">
        <v>78</v>
      </c>
      <c r="O275" t="s">
        <v>74</v>
      </c>
      <c r="P275" t="s">
        <v>74</v>
      </c>
      <c r="Q275" t="s">
        <v>74</v>
      </c>
      <c r="R275" t="s">
        <v>74</v>
      </c>
      <c r="S275" t="s">
        <v>74</v>
      </c>
      <c r="T275" t="s">
        <v>4270</v>
      </c>
      <c r="U275" t="s">
        <v>4271</v>
      </c>
      <c r="V275" t="s">
        <v>4272</v>
      </c>
      <c r="W275" t="s">
        <v>4273</v>
      </c>
      <c r="X275" t="s">
        <v>4274</v>
      </c>
      <c r="Y275" t="s">
        <v>4275</v>
      </c>
      <c r="Z275" t="s">
        <v>4276</v>
      </c>
      <c r="AA275" t="s">
        <v>4277</v>
      </c>
      <c r="AB275" t="s">
        <v>4278</v>
      </c>
      <c r="AC275" t="s">
        <v>74</v>
      </c>
      <c r="AD275" t="s">
        <v>74</v>
      </c>
      <c r="AE275" t="s">
        <v>74</v>
      </c>
      <c r="AF275" t="s">
        <v>74</v>
      </c>
      <c r="AG275">
        <v>84</v>
      </c>
      <c r="AH275">
        <v>8195</v>
      </c>
      <c r="AI275">
        <v>8865</v>
      </c>
      <c r="AJ275">
        <v>59</v>
      </c>
      <c r="AK275">
        <v>1201</v>
      </c>
      <c r="AL275" t="s">
        <v>539</v>
      </c>
      <c r="AM275" t="s">
        <v>540</v>
      </c>
      <c r="AN275" t="s">
        <v>541</v>
      </c>
      <c r="AO275" t="s">
        <v>588</v>
      </c>
      <c r="AP275" t="s">
        <v>605</v>
      </c>
      <c r="AQ275" t="s">
        <v>74</v>
      </c>
      <c r="AR275" t="s">
        <v>589</v>
      </c>
      <c r="AS275" t="s">
        <v>590</v>
      </c>
      <c r="AT275" t="s">
        <v>4264</v>
      </c>
      <c r="AU275">
        <v>2003</v>
      </c>
      <c r="AV275">
        <v>108</v>
      </c>
      <c r="AW275" t="s">
        <v>4108</v>
      </c>
      <c r="AX275" t="s">
        <v>74</v>
      </c>
      <c r="AY275" t="s">
        <v>74</v>
      </c>
      <c r="AZ275" t="s">
        <v>74</v>
      </c>
      <c r="BA275" t="s">
        <v>74</v>
      </c>
      <c r="BB275" t="s">
        <v>74</v>
      </c>
      <c r="BC275" t="s">
        <v>74</v>
      </c>
      <c r="BD275">
        <v>4407</v>
      </c>
      <c r="BE275" t="s">
        <v>4279</v>
      </c>
      <c r="BF275" t="str">
        <f>HYPERLINK("http://dx.doi.org/10.1029/2002JD002670","http://dx.doi.org/10.1029/2002JD002670")</f>
        <v>http://dx.doi.org/10.1029/2002JD002670</v>
      </c>
      <c r="BG275" t="s">
        <v>74</v>
      </c>
      <c r="BH275" t="s">
        <v>74</v>
      </c>
      <c r="BI275">
        <v>37</v>
      </c>
      <c r="BJ275" t="s">
        <v>93</v>
      </c>
      <c r="BK275" t="s">
        <v>94</v>
      </c>
      <c r="BL275" t="s">
        <v>93</v>
      </c>
      <c r="BM275" t="s">
        <v>4280</v>
      </c>
      <c r="BN275" t="s">
        <v>74</v>
      </c>
      <c r="BO275" t="s">
        <v>3263</v>
      </c>
      <c r="BP275" t="s">
        <v>74</v>
      </c>
      <c r="BQ275" t="s">
        <v>74</v>
      </c>
      <c r="BR275" t="s">
        <v>97</v>
      </c>
      <c r="BS275" t="s">
        <v>4281</v>
      </c>
      <c r="BT275" t="str">
        <f>HYPERLINK("https%3A%2F%2Fwww.webofscience.com%2Fwos%2Fwoscc%2Ffull-record%2FWOS:000184603300003","View Full Record in Web of Science")</f>
        <v>View Full Record in Web of Science</v>
      </c>
    </row>
    <row r="276" spans="1:72" x14ac:dyDescent="0.15">
      <c r="A276" t="s">
        <v>72</v>
      </c>
      <c r="B276" t="s">
        <v>4282</v>
      </c>
      <c r="C276" t="s">
        <v>74</v>
      </c>
      <c r="D276" t="s">
        <v>74</v>
      </c>
      <c r="E276" t="s">
        <v>74</v>
      </c>
      <c r="F276" t="s">
        <v>4282</v>
      </c>
      <c r="G276" t="s">
        <v>74</v>
      </c>
      <c r="H276" t="s">
        <v>74</v>
      </c>
      <c r="I276" t="s">
        <v>4283</v>
      </c>
      <c r="J276" t="s">
        <v>665</v>
      </c>
      <c r="K276" t="s">
        <v>74</v>
      </c>
      <c r="L276" t="s">
        <v>74</v>
      </c>
      <c r="M276" t="s">
        <v>77</v>
      </c>
      <c r="N276" t="s">
        <v>78</v>
      </c>
      <c r="O276" t="s">
        <v>74</v>
      </c>
      <c r="P276" t="s">
        <v>74</v>
      </c>
      <c r="Q276" t="s">
        <v>74</v>
      </c>
      <c r="R276" t="s">
        <v>74</v>
      </c>
      <c r="S276" t="s">
        <v>74</v>
      </c>
      <c r="T276" t="s">
        <v>4284</v>
      </c>
      <c r="U276" t="s">
        <v>4285</v>
      </c>
      <c r="V276" t="s">
        <v>4286</v>
      </c>
      <c r="W276" t="s">
        <v>4287</v>
      </c>
      <c r="X276" t="s">
        <v>4288</v>
      </c>
      <c r="Y276" t="s">
        <v>4289</v>
      </c>
      <c r="Z276" t="s">
        <v>4290</v>
      </c>
      <c r="AA276" t="s">
        <v>74</v>
      </c>
      <c r="AB276" t="s">
        <v>4291</v>
      </c>
      <c r="AC276" t="s">
        <v>74</v>
      </c>
      <c r="AD276" t="s">
        <v>74</v>
      </c>
      <c r="AE276" t="s">
        <v>74</v>
      </c>
      <c r="AF276" t="s">
        <v>74</v>
      </c>
      <c r="AG276">
        <v>88</v>
      </c>
      <c r="AH276">
        <v>97</v>
      </c>
      <c r="AI276">
        <v>113</v>
      </c>
      <c r="AJ276">
        <v>2</v>
      </c>
      <c r="AK276">
        <v>32</v>
      </c>
      <c r="AL276" t="s">
        <v>539</v>
      </c>
      <c r="AM276" t="s">
        <v>540</v>
      </c>
      <c r="AN276" t="s">
        <v>541</v>
      </c>
      <c r="AO276" t="s">
        <v>672</v>
      </c>
      <c r="AP276" t="s">
        <v>673</v>
      </c>
      <c r="AQ276" t="s">
        <v>74</v>
      </c>
      <c r="AR276" t="s">
        <v>674</v>
      </c>
      <c r="AS276" t="s">
        <v>675</v>
      </c>
      <c r="AT276" t="s">
        <v>4292</v>
      </c>
      <c r="AU276">
        <v>2003</v>
      </c>
      <c r="AV276">
        <v>108</v>
      </c>
      <c r="AW276" t="s">
        <v>4238</v>
      </c>
      <c r="AX276" t="s">
        <v>74</v>
      </c>
      <c r="AY276" t="s">
        <v>74</v>
      </c>
      <c r="AZ276" t="s">
        <v>74</v>
      </c>
      <c r="BA276" t="s">
        <v>74</v>
      </c>
      <c r="BB276" t="s">
        <v>74</v>
      </c>
      <c r="BC276" t="s">
        <v>74</v>
      </c>
      <c r="BD276">
        <v>3231</v>
      </c>
      <c r="BE276" t="s">
        <v>4293</v>
      </c>
      <c r="BF276" t="str">
        <f>HYPERLINK("http://dx.doi.org/10.1029/2001JC000856","http://dx.doi.org/10.1029/2001JC000856")</f>
        <v>http://dx.doi.org/10.1029/2001JC000856</v>
      </c>
      <c r="BG276" t="s">
        <v>74</v>
      </c>
      <c r="BH276" t="s">
        <v>74</v>
      </c>
      <c r="BI276">
        <v>17</v>
      </c>
      <c r="BJ276" t="s">
        <v>678</v>
      </c>
      <c r="BK276" t="s">
        <v>94</v>
      </c>
      <c r="BL276" t="s">
        <v>678</v>
      </c>
      <c r="BM276" t="s">
        <v>4294</v>
      </c>
      <c r="BN276" t="s">
        <v>74</v>
      </c>
      <c r="BO276" t="s">
        <v>74</v>
      </c>
      <c r="BP276" t="s">
        <v>74</v>
      </c>
      <c r="BQ276" t="s">
        <v>74</v>
      </c>
      <c r="BR276" t="s">
        <v>97</v>
      </c>
      <c r="BS276" t="s">
        <v>4295</v>
      </c>
      <c r="BT276" t="str">
        <f>HYPERLINK("https%3A%2F%2Fwww.webofscience.com%2Fwos%2Fwoscc%2Ffull-record%2FWOS:000184605700001","View Full Record in Web of Science")</f>
        <v>View Full Record in Web of Science</v>
      </c>
    </row>
    <row r="277" spans="1:72" x14ac:dyDescent="0.15">
      <c r="A277" t="s">
        <v>72</v>
      </c>
      <c r="B277" t="s">
        <v>4296</v>
      </c>
      <c r="C277" t="s">
        <v>74</v>
      </c>
      <c r="D277" t="s">
        <v>74</v>
      </c>
      <c r="E277" t="s">
        <v>74</v>
      </c>
      <c r="F277" t="s">
        <v>4296</v>
      </c>
      <c r="G277" t="s">
        <v>74</v>
      </c>
      <c r="H277" t="s">
        <v>74</v>
      </c>
      <c r="I277" t="s">
        <v>4297</v>
      </c>
      <c r="J277" t="s">
        <v>1033</v>
      </c>
      <c r="K277" t="s">
        <v>74</v>
      </c>
      <c r="L277" t="s">
        <v>74</v>
      </c>
      <c r="M277" t="s">
        <v>77</v>
      </c>
      <c r="N277" t="s">
        <v>78</v>
      </c>
      <c r="O277" t="s">
        <v>74</v>
      </c>
      <c r="P277" t="s">
        <v>74</v>
      </c>
      <c r="Q277" t="s">
        <v>74</v>
      </c>
      <c r="R277" t="s">
        <v>74</v>
      </c>
      <c r="S277" t="s">
        <v>74</v>
      </c>
      <c r="T277" t="s">
        <v>4298</v>
      </c>
      <c r="U277" t="s">
        <v>4299</v>
      </c>
      <c r="V277" t="s">
        <v>4300</v>
      </c>
      <c r="W277" t="s">
        <v>4301</v>
      </c>
      <c r="X277" t="s">
        <v>4302</v>
      </c>
      <c r="Y277" t="s">
        <v>4303</v>
      </c>
      <c r="Z277" t="s">
        <v>4304</v>
      </c>
      <c r="AA277" t="s">
        <v>4305</v>
      </c>
      <c r="AB277" t="s">
        <v>4306</v>
      </c>
      <c r="AC277" t="s">
        <v>74</v>
      </c>
      <c r="AD277" t="s">
        <v>74</v>
      </c>
      <c r="AE277" t="s">
        <v>74</v>
      </c>
      <c r="AF277" t="s">
        <v>74</v>
      </c>
      <c r="AG277">
        <v>28</v>
      </c>
      <c r="AH277">
        <v>30</v>
      </c>
      <c r="AI277">
        <v>32</v>
      </c>
      <c r="AJ277">
        <v>0</v>
      </c>
      <c r="AK277">
        <v>4</v>
      </c>
      <c r="AL277" t="s">
        <v>110</v>
      </c>
      <c r="AM277" t="s">
        <v>111</v>
      </c>
      <c r="AN277" t="s">
        <v>112</v>
      </c>
      <c r="AO277" t="s">
        <v>1043</v>
      </c>
      <c r="AP277" t="s">
        <v>1044</v>
      </c>
      <c r="AQ277" t="s">
        <v>74</v>
      </c>
      <c r="AR277" t="s">
        <v>1045</v>
      </c>
      <c r="AS277" t="s">
        <v>1046</v>
      </c>
      <c r="AT277" t="s">
        <v>4307</v>
      </c>
      <c r="AU277">
        <v>2003</v>
      </c>
      <c r="AV277">
        <v>212</v>
      </c>
      <c r="AW277" t="s">
        <v>787</v>
      </c>
      <c r="AX277" t="s">
        <v>74</v>
      </c>
      <c r="AY277" t="s">
        <v>74</v>
      </c>
      <c r="AZ277" t="s">
        <v>74</v>
      </c>
      <c r="BA277" t="s">
        <v>74</v>
      </c>
      <c r="BB277">
        <v>103</v>
      </c>
      <c r="BC277">
        <v>117</v>
      </c>
      <c r="BD277" t="s">
        <v>74</v>
      </c>
      <c r="BE277" t="s">
        <v>4308</v>
      </c>
      <c r="BF277" t="str">
        <f>HYPERLINK("http://dx.doi.org/10.1016/S0012-821X(03)00245-0","http://dx.doi.org/10.1016/S0012-821X(03)00245-0")</f>
        <v>http://dx.doi.org/10.1016/S0012-821X(03)00245-0</v>
      </c>
      <c r="BG277" t="s">
        <v>74</v>
      </c>
      <c r="BH277" t="s">
        <v>74</v>
      </c>
      <c r="BI277">
        <v>15</v>
      </c>
      <c r="BJ277" t="s">
        <v>176</v>
      </c>
      <c r="BK277" t="s">
        <v>94</v>
      </c>
      <c r="BL277" t="s">
        <v>176</v>
      </c>
      <c r="BM277" t="s">
        <v>4309</v>
      </c>
      <c r="BN277" t="s">
        <v>74</v>
      </c>
      <c r="BO277" t="s">
        <v>1767</v>
      </c>
      <c r="BP277" t="s">
        <v>74</v>
      </c>
      <c r="BQ277" t="s">
        <v>74</v>
      </c>
      <c r="BR277" t="s">
        <v>97</v>
      </c>
      <c r="BS277" t="s">
        <v>4310</v>
      </c>
      <c r="BT277" t="str">
        <f>HYPERLINK("https%3A%2F%2Fwww.webofscience.com%2Fwos%2Fwoscc%2Ffull-record%2FWOS:000184120200008","View Full Record in Web of Science")</f>
        <v>View Full Record in Web of Science</v>
      </c>
    </row>
    <row r="278" spans="1:72" x14ac:dyDescent="0.15">
      <c r="A278" t="s">
        <v>72</v>
      </c>
      <c r="B278" t="s">
        <v>4311</v>
      </c>
      <c r="C278" t="s">
        <v>74</v>
      </c>
      <c r="D278" t="s">
        <v>74</v>
      </c>
      <c r="E278" t="s">
        <v>74</v>
      </c>
      <c r="F278" t="s">
        <v>4311</v>
      </c>
      <c r="G278" t="s">
        <v>74</v>
      </c>
      <c r="H278" t="s">
        <v>74</v>
      </c>
      <c r="I278" t="s">
        <v>4312</v>
      </c>
      <c r="J278" t="s">
        <v>1033</v>
      </c>
      <c r="K278" t="s">
        <v>74</v>
      </c>
      <c r="L278" t="s">
        <v>74</v>
      </c>
      <c r="M278" t="s">
        <v>77</v>
      </c>
      <c r="N278" t="s">
        <v>78</v>
      </c>
      <c r="O278" t="s">
        <v>74</v>
      </c>
      <c r="P278" t="s">
        <v>74</v>
      </c>
      <c r="Q278" t="s">
        <v>74</v>
      </c>
      <c r="R278" t="s">
        <v>74</v>
      </c>
      <c r="S278" t="s">
        <v>74</v>
      </c>
      <c r="T278" t="s">
        <v>4313</v>
      </c>
      <c r="U278" t="s">
        <v>4314</v>
      </c>
      <c r="V278" t="s">
        <v>4315</v>
      </c>
      <c r="W278" t="s">
        <v>4316</v>
      </c>
      <c r="X278" t="s">
        <v>4317</v>
      </c>
      <c r="Y278" t="s">
        <v>4318</v>
      </c>
      <c r="Z278" t="s">
        <v>4319</v>
      </c>
      <c r="AA278" t="s">
        <v>4320</v>
      </c>
      <c r="AB278" t="s">
        <v>4321</v>
      </c>
      <c r="AC278" t="s">
        <v>74</v>
      </c>
      <c r="AD278" t="s">
        <v>74</v>
      </c>
      <c r="AE278" t="s">
        <v>74</v>
      </c>
      <c r="AF278" t="s">
        <v>74</v>
      </c>
      <c r="AG278">
        <v>67</v>
      </c>
      <c r="AH278">
        <v>95</v>
      </c>
      <c r="AI278">
        <v>107</v>
      </c>
      <c r="AJ278">
        <v>2</v>
      </c>
      <c r="AK278">
        <v>18</v>
      </c>
      <c r="AL278" t="s">
        <v>781</v>
      </c>
      <c r="AM278" t="s">
        <v>111</v>
      </c>
      <c r="AN278" t="s">
        <v>782</v>
      </c>
      <c r="AO278" t="s">
        <v>1043</v>
      </c>
      <c r="AP278" t="s">
        <v>1044</v>
      </c>
      <c r="AQ278" t="s">
        <v>74</v>
      </c>
      <c r="AR278" t="s">
        <v>1045</v>
      </c>
      <c r="AS278" t="s">
        <v>1046</v>
      </c>
      <c r="AT278" t="s">
        <v>4307</v>
      </c>
      <c r="AU278">
        <v>2003</v>
      </c>
      <c r="AV278">
        <v>212</v>
      </c>
      <c r="AW278" t="s">
        <v>787</v>
      </c>
      <c r="AX278" t="s">
        <v>74</v>
      </c>
      <c r="AY278" t="s">
        <v>74</v>
      </c>
      <c r="AZ278" t="s">
        <v>74</v>
      </c>
      <c r="BA278" t="s">
        <v>74</v>
      </c>
      <c r="BB278">
        <v>181</v>
      </c>
      <c r="BC278">
        <v>196</v>
      </c>
      <c r="BD278" t="s">
        <v>74</v>
      </c>
      <c r="BE278" t="s">
        <v>4322</v>
      </c>
      <c r="BF278" t="str">
        <f>HYPERLINK("http://dx.doi.org/10.1016/S0012-821X(03)00260-7","http://dx.doi.org/10.1016/S0012-821X(03)00260-7")</f>
        <v>http://dx.doi.org/10.1016/S0012-821X(03)00260-7</v>
      </c>
      <c r="BG278" t="s">
        <v>74</v>
      </c>
      <c r="BH278" t="s">
        <v>74</v>
      </c>
      <c r="BI278">
        <v>16</v>
      </c>
      <c r="BJ278" t="s">
        <v>176</v>
      </c>
      <c r="BK278" t="s">
        <v>94</v>
      </c>
      <c r="BL278" t="s">
        <v>176</v>
      </c>
      <c r="BM278" t="s">
        <v>4309</v>
      </c>
      <c r="BN278" t="s">
        <v>74</v>
      </c>
      <c r="BO278" t="s">
        <v>154</v>
      </c>
      <c r="BP278" t="s">
        <v>74</v>
      </c>
      <c r="BQ278" t="s">
        <v>74</v>
      </c>
      <c r="BR278" t="s">
        <v>97</v>
      </c>
      <c r="BS278" t="s">
        <v>4323</v>
      </c>
      <c r="BT278" t="str">
        <f>HYPERLINK("https%3A%2F%2Fwww.webofscience.com%2Fwos%2Fwoscc%2Ffull-record%2FWOS:000184120200013","View Full Record in Web of Science")</f>
        <v>View Full Record in Web of Science</v>
      </c>
    </row>
    <row r="279" spans="1:72" x14ac:dyDescent="0.15">
      <c r="A279" t="s">
        <v>72</v>
      </c>
      <c r="B279" t="s">
        <v>4324</v>
      </c>
      <c r="C279" t="s">
        <v>74</v>
      </c>
      <c r="D279" t="s">
        <v>74</v>
      </c>
      <c r="E279" t="s">
        <v>74</v>
      </c>
      <c r="F279" t="s">
        <v>4324</v>
      </c>
      <c r="G279" t="s">
        <v>74</v>
      </c>
      <c r="H279" t="s">
        <v>74</v>
      </c>
      <c r="I279" t="s">
        <v>4325</v>
      </c>
      <c r="J279" t="s">
        <v>1033</v>
      </c>
      <c r="K279" t="s">
        <v>74</v>
      </c>
      <c r="L279" t="s">
        <v>74</v>
      </c>
      <c r="M279" t="s">
        <v>77</v>
      </c>
      <c r="N279" t="s">
        <v>78</v>
      </c>
      <c r="O279" t="s">
        <v>74</v>
      </c>
      <c r="P279" t="s">
        <v>74</v>
      </c>
      <c r="Q279" t="s">
        <v>74</v>
      </c>
      <c r="R279" t="s">
        <v>74</v>
      </c>
      <c r="S279" t="s">
        <v>74</v>
      </c>
      <c r="T279" t="s">
        <v>4326</v>
      </c>
      <c r="U279" t="s">
        <v>4327</v>
      </c>
      <c r="V279" t="s">
        <v>4328</v>
      </c>
      <c r="W279" t="s">
        <v>4329</v>
      </c>
      <c r="X279" t="s">
        <v>4330</v>
      </c>
      <c r="Y279" t="s">
        <v>4331</v>
      </c>
      <c r="Z279" t="s">
        <v>74</v>
      </c>
      <c r="AA279" t="s">
        <v>4332</v>
      </c>
      <c r="AB279" t="s">
        <v>4333</v>
      </c>
      <c r="AC279" t="s">
        <v>74</v>
      </c>
      <c r="AD279" t="s">
        <v>74</v>
      </c>
      <c r="AE279" t="s">
        <v>74</v>
      </c>
      <c r="AF279" t="s">
        <v>74</v>
      </c>
      <c r="AG279">
        <v>58</v>
      </c>
      <c r="AH279">
        <v>40</v>
      </c>
      <c r="AI279">
        <v>41</v>
      </c>
      <c r="AJ279">
        <v>0</v>
      </c>
      <c r="AK279">
        <v>13</v>
      </c>
      <c r="AL279" t="s">
        <v>110</v>
      </c>
      <c r="AM279" t="s">
        <v>111</v>
      </c>
      <c r="AN279" t="s">
        <v>112</v>
      </c>
      <c r="AO279" t="s">
        <v>1043</v>
      </c>
      <c r="AP279" t="s">
        <v>74</v>
      </c>
      <c r="AQ279" t="s">
        <v>74</v>
      </c>
      <c r="AR279" t="s">
        <v>1045</v>
      </c>
      <c r="AS279" t="s">
        <v>1046</v>
      </c>
      <c r="AT279" t="s">
        <v>4307</v>
      </c>
      <c r="AU279">
        <v>2003</v>
      </c>
      <c r="AV279">
        <v>212</v>
      </c>
      <c r="AW279" t="s">
        <v>787</v>
      </c>
      <c r="AX279" t="s">
        <v>74</v>
      </c>
      <c r="AY279" t="s">
        <v>74</v>
      </c>
      <c r="AZ279" t="s">
        <v>74</v>
      </c>
      <c r="BA279" t="s">
        <v>74</v>
      </c>
      <c r="BB279">
        <v>213</v>
      </c>
      <c r="BC279">
        <v>224</v>
      </c>
      <c r="BD279" t="s">
        <v>74</v>
      </c>
      <c r="BE279" t="s">
        <v>4334</v>
      </c>
      <c r="BF279" t="str">
        <f>HYPERLINK("http://dx.doi.org/10.1016/S0012-821X(03)00235-8","http://dx.doi.org/10.1016/S0012-821X(03)00235-8")</f>
        <v>http://dx.doi.org/10.1016/S0012-821X(03)00235-8</v>
      </c>
      <c r="BG279" t="s">
        <v>74</v>
      </c>
      <c r="BH279" t="s">
        <v>74</v>
      </c>
      <c r="BI279">
        <v>12</v>
      </c>
      <c r="BJ279" t="s">
        <v>176</v>
      </c>
      <c r="BK279" t="s">
        <v>94</v>
      </c>
      <c r="BL279" t="s">
        <v>176</v>
      </c>
      <c r="BM279" t="s">
        <v>4309</v>
      </c>
      <c r="BN279" t="s">
        <v>74</v>
      </c>
      <c r="BO279" t="s">
        <v>74</v>
      </c>
      <c r="BP279" t="s">
        <v>74</v>
      </c>
      <c r="BQ279" t="s">
        <v>74</v>
      </c>
      <c r="BR279" t="s">
        <v>97</v>
      </c>
      <c r="BS279" t="s">
        <v>4335</v>
      </c>
      <c r="BT279" t="str">
        <f>HYPERLINK("https%3A%2F%2Fwww.webofscience.com%2Fwos%2Fwoscc%2Ffull-record%2FWOS:000184120200015","View Full Record in Web of Science")</f>
        <v>View Full Record in Web of Science</v>
      </c>
    </row>
    <row r="280" spans="1:72" x14ac:dyDescent="0.15">
      <c r="A280" t="s">
        <v>72</v>
      </c>
      <c r="B280" t="s">
        <v>4336</v>
      </c>
      <c r="C280" t="s">
        <v>74</v>
      </c>
      <c r="D280" t="s">
        <v>74</v>
      </c>
      <c r="E280" t="s">
        <v>74</v>
      </c>
      <c r="F280" t="s">
        <v>4336</v>
      </c>
      <c r="G280" t="s">
        <v>74</v>
      </c>
      <c r="H280" t="s">
        <v>74</v>
      </c>
      <c r="I280" t="s">
        <v>4337</v>
      </c>
      <c r="J280" t="s">
        <v>4338</v>
      </c>
      <c r="K280" t="s">
        <v>74</v>
      </c>
      <c r="L280" t="s">
        <v>74</v>
      </c>
      <c r="M280" t="s">
        <v>77</v>
      </c>
      <c r="N280" t="s">
        <v>4339</v>
      </c>
      <c r="O280" t="s">
        <v>74</v>
      </c>
      <c r="P280" t="s">
        <v>74</v>
      </c>
      <c r="Q280" t="s">
        <v>74</v>
      </c>
      <c r="R280" t="s">
        <v>74</v>
      </c>
      <c r="S280" t="s">
        <v>74</v>
      </c>
      <c r="T280" t="s">
        <v>74</v>
      </c>
      <c r="U280" t="s">
        <v>4340</v>
      </c>
      <c r="V280" t="s">
        <v>74</v>
      </c>
      <c r="W280" t="s">
        <v>4341</v>
      </c>
      <c r="X280" t="s">
        <v>4342</v>
      </c>
      <c r="Y280" t="s">
        <v>4343</v>
      </c>
      <c r="Z280" t="s">
        <v>74</v>
      </c>
      <c r="AA280" t="s">
        <v>4344</v>
      </c>
      <c r="AB280" t="s">
        <v>4345</v>
      </c>
      <c r="AC280" t="s">
        <v>74</v>
      </c>
      <c r="AD280" t="s">
        <v>74</v>
      </c>
      <c r="AE280" t="s">
        <v>74</v>
      </c>
      <c r="AF280" t="s">
        <v>74</v>
      </c>
      <c r="AG280">
        <v>11</v>
      </c>
      <c r="AH280">
        <v>5</v>
      </c>
      <c r="AI280">
        <v>5</v>
      </c>
      <c r="AJ280">
        <v>0</v>
      </c>
      <c r="AK280">
        <v>9</v>
      </c>
      <c r="AL280" t="s">
        <v>4346</v>
      </c>
      <c r="AM280" t="s">
        <v>540</v>
      </c>
      <c r="AN280" t="s">
        <v>4347</v>
      </c>
      <c r="AO280" t="s">
        <v>4348</v>
      </c>
      <c r="AP280" t="s">
        <v>74</v>
      </c>
      <c r="AQ280" t="s">
        <v>74</v>
      </c>
      <c r="AR280" t="s">
        <v>4349</v>
      </c>
      <c r="AS280" t="s">
        <v>4350</v>
      </c>
      <c r="AT280" t="s">
        <v>4307</v>
      </c>
      <c r="AU280">
        <v>2003</v>
      </c>
      <c r="AV280">
        <v>37</v>
      </c>
      <c r="AW280">
        <v>14</v>
      </c>
      <c r="AX280" t="s">
        <v>74</v>
      </c>
      <c r="AY280" t="s">
        <v>74</v>
      </c>
      <c r="AZ280" t="s">
        <v>74</v>
      </c>
      <c r="BA280" t="s">
        <v>74</v>
      </c>
      <c r="BB280">
        <v>3239</v>
      </c>
      <c r="BC280">
        <v>3240</v>
      </c>
      <c r="BD280" t="s">
        <v>74</v>
      </c>
      <c r="BE280" t="s">
        <v>4351</v>
      </c>
      <c r="BF280" t="str">
        <f>HYPERLINK("http://dx.doi.org/10.1021/es0303844","http://dx.doi.org/10.1021/es0303844")</f>
        <v>http://dx.doi.org/10.1021/es0303844</v>
      </c>
      <c r="BG280" t="s">
        <v>74</v>
      </c>
      <c r="BH280" t="s">
        <v>74</v>
      </c>
      <c r="BI280">
        <v>2</v>
      </c>
      <c r="BJ280" t="s">
        <v>1122</v>
      </c>
      <c r="BK280" t="s">
        <v>94</v>
      </c>
      <c r="BL280" t="s">
        <v>1123</v>
      </c>
      <c r="BM280" t="s">
        <v>4352</v>
      </c>
      <c r="BN280">
        <v>12901675</v>
      </c>
      <c r="BO280" t="s">
        <v>74</v>
      </c>
      <c r="BP280" t="s">
        <v>74</v>
      </c>
      <c r="BQ280" t="s">
        <v>74</v>
      </c>
      <c r="BR280" t="s">
        <v>97</v>
      </c>
      <c r="BS280" t="s">
        <v>4353</v>
      </c>
      <c r="BT280" t="str">
        <f>HYPERLINK("https%3A%2F%2Fwww.webofscience.com%2Fwos%2Fwoscc%2Ffull-record%2FWOS:000184234000028","View Full Record in Web of Science")</f>
        <v>View Full Record in Web of Science</v>
      </c>
    </row>
    <row r="281" spans="1:72" x14ac:dyDescent="0.15">
      <c r="A281" t="s">
        <v>72</v>
      </c>
      <c r="B281" t="s">
        <v>4354</v>
      </c>
      <c r="C281" t="s">
        <v>74</v>
      </c>
      <c r="D281" t="s">
        <v>74</v>
      </c>
      <c r="E281" t="s">
        <v>74</v>
      </c>
      <c r="F281" t="s">
        <v>4354</v>
      </c>
      <c r="G281" t="s">
        <v>74</v>
      </c>
      <c r="H281" t="s">
        <v>74</v>
      </c>
      <c r="I281" t="s">
        <v>4355</v>
      </c>
      <c r="J281" t="s">
        <v>4338</v>
      </c>
      <c r="K281" t="s">
        <v>74</v>
      </c>
      <c r="L281" t="s">
        <v>74</v>
      </c>
      <c r="M281" t="s">
        <v>77</v>
      </c>
      <c r="N281" t="s">
        <v>4339</v>
      </c>
      <c r="O281" t="s">
        <v>74</v>
      </c>
      <c r="P281" t="s">
        <v>74</v>
      </c>
      <c r="Q281" t="s">
        <v>74</v>
      </c>
      <c r="R281" t="s">
        <v>74</v>
      </c>
      <c r="S281" t="s">
        <v>74</v>
      </c>
      <c r="T281" t="s">
        <v>74</v>
      </c>
      <c r="U281" t="s">
        <v>74</v>
      </c>
      <c r="V281" t="s">
        <v>74</v>
      </c>
      <c r="W281" t="s">
        <v>4356</v>
      </c>
      <c r="X281" t="s">
        <v>4357</v>
      </c>
      <c r="Y281" t="s">
        <v>4358</v>
      </c>
      <c r="Z281" t="s">
        <v>74</v>
      </c>
      <c r="AA281" t="s">
        <v>74</v>
      </c>
      <c r="AB281" t="s">
        <v>74</v>
      </c>
      <c r="AC281" t="s">
        <v>74</v>
      </c>
      <c r="AD281" t="s">
        <v>74</v>
      </c>
      <c r="AE281" t="s">
        <v>74</v>
      </c>
      <c r="AF281" t="s">
        <v>74</v>
      </c>
      <c r="AG281">
        <v>8</v>
      </c>
      <c r="AH281">
        <v>3</v>
      </c>
      <c r="AI281">
        <v>4</v>
      </c>
      <c r="AJ281">
        <v>0</v>
      </c>
      <c r="AK281">
        <v>14</v>
      </c>
      <c r="AL281" t="s">
        <v>4346</v>
      </c>
      <c r="AM281" t="s">
        <v>540</v>
      </c>
      <c r="AN281" t="s">
        <v>4347</v>
      </c>
      <c r="AO281" t="s">
        <v>4348</v>
      </c>
      <c r="AP281" t="s">
        <v>74</v>
      </c>
      <c r="AQ281" t="s">
        <v>74</v>
      </c>
      <c r="AR281" t="s">
        <v>4349</v>
      </c>
      <c r="AS281" t="s">
        <v>4350</v>
      </c>
      <c r="AT281" t="s">
        <v>4307</v>
      </c>
      <c r="AU281">
        <v>2003</v>
      </c>
      <c r="AV281">
        <v>37</v>
      </c>
      <c r="AW281">
        <v>14</v>
      </c>
      <c r="AX281" t="s">
        <v>74</v>
      </c>
      <c r="AY281" t="s">
        <v>74</v>
      </c>
      <c r="AZ281" t="s">
        <v>74</v>
      </c>
      <c r="BA281" t="s">
        <v>74</v>
      </c>
      <c r="BB281">
        <v>3241</v>
      </c>
      <c r="BC281">
        <v>3242</v>
      </c>
      <c r="BD281" t="s">
        <v>74</v>
      </c>
      <c r="BE281" t="s">
        <v>4359</v>
      </c>
      <c r="BF281" t="str">
        <f>HYPERLINK("http://dx.doi.org/10.1021/es030462n","http://dx.doi.org/10.1021/es030462n")</f>
        <v>http://dx.doi.org/10.1021/es030462n</v>
      </c>
      <c r="BG281" t="s">
        <v>74</v>
      </c>
      <c r="BH281" t="s">
        <v>74</v>
      </c>
      <c r="BI281">
        <v>2</v>
      </c>
      <c r="BJ281" t="s">
        <v>1122</v>
      </c>
      <c r="BK281" t="s">
        <v>94</v>
      </c>
      <c r="BL281" t="s">
        <v>1123</v>
      </c>
      <c r="BM281" t="s">
        <v>4352</v>
      </c>
      <c r="BN281" t="s">
        <v>74</v>
      </c>
      <c r="BO281" t="s">
        <v>74</v>
      </c>
      <c r="BP281" t="s">
        <v>74</v>
      </c>
      <c r="BQ281" t="s">
        <v>74</v>
      </c>
      <c r="BR281" t="s">
        <v>97</v>
      </c>
      <c r="BS281" t="s">
        <v>4360</v>
      </c>
      <c r="BT281" t="str">
        <f>HYPERLINK("https%3A%2F%2Fwww.webofscience.com%2Fwos%2Fwoscc%2Ffull-record%2FWOS:000184234000029","View Full Record in Web of Science")</f>
        <v>View Full Record in Web of Science</v>
      </c>
    </row>
    <row r="282" spans="1:72" x14ac:dyDescent="0.15">
      <c r="A282" t="s">
        <v>72</v>
      </c>
      <c r="B282" t="s">
        <v>4361</v>
      </c>
      <c r="C282" t="s">
        <v>74</v>
      </c>
      <c r="D282" t="s">
        <v>74</v>
      </c>
      <c r="E282" t="s">
        <v>74</v>
      </c>
      <c r="F282" t="s">
        <v>4361</v>
      </c>
      <c r="G282" t="s">
        <v>74</v>
      </c>
      <c r="H282" t="s">
        <v>74</v>
      </c>
      <c r="I282" t="s">
        <v>4362</v>
      </c>
      <c r="J282" t="s">
        <v>683</v>
      </c>
      <c r="K282" t="s">
        <v>74</v>
      </c>
      <c r="L282" t="s">
        <v>74</v>
      </c>
      <c r="M282" t="s">
        <v>77</v>
      </c>
      <c r="N282" t="s">
        <v>78</v>
      </c>
      <c r="O282" t="s">
        <v>74</v>
      </c>
      <c r="P282" t="s">
        <v>74</v>
      </c>
      <c r="Q282" t="s">
        <v>74</v>
      </c>
      <c r="R282" t="s">
        <v>74</v>
      </c>
      <c r="S282" t="s">
        <v>74</v>
      </c>
      <c r="T282" t="s">
        <v>4363</v>
      </c>
      <c r="U282" t="s">
        <v>4364</v>
      </c>
      <c r="V282" t="s">
        <v>4365</v>
      </c>
      <c r="W282" t="s">
        <v>4366</v>
      </c>
      <c r="X282" t="s">
        <v>650</v>
      </c>
      <c r="Y282" t="s">
        <v>4367</v>
      </c>
      <c r="Z282" t="s">
        <v>74</v>
      </c>
      <c r="AA282" t="s">
        <v>74</v>
      </c>
      <c r="AB282" t="s">
        <v>74</v>
      </c>
      <c r="AC282" t="s">
        <v>74</v>
      </c>
      <c r="AD282" t="s">
        <v>74</v>
      </c>
      <c r="AE282" t="s">
        <v>74</v>
      </c>
      <c r="AF282" t="s">
        <v>74</v>
      </c>
      <c r="AG282">
        <v>20</v>
      </c>
      <c r="AH282">
        <v>9</v>
      </c>
      <c r="AI282">
        <v>10</v>
      </c>
      <c r="AJ282">
        <v>0</v>
      </c>
      <c r="AK282">
        <v>6</v>
      </c>
      <c r="AL282" t="s">
        <v>539</v>
      </c>
      <c r="AM282" t="s">
        <v>540</v>
      </c>
      <c r="AN282" t="s">
        <v>541</v>
      </c>
      <c r="AO282" t="s">
        <v>693</v>
      </c>
      <c r="AP282" t="s">
        <v>74</v>
      </c>
      <c r="AQ282" t="s">
        <v>74</v>
      </c>
      <c r="AR282" t="s">
        <v>694</v>
      </c>
      <c r="AS282" t="s">
        <v>695</v>
      </c>
      <c r="AT282" t="s">
        <v>4307</v>
      </c>
      <c r="AU282">
        <v>2003</v>
      </c>
      <c r="AV282">
        <v>4</v>
      </c>
      <c r="AW282" t="s">
        <v>74</v>
      </c>
      <c r="AX282" t="s">
        <v>74</v>
      </c>
      <c r="AY282" t="s">
        <v>74</v>
      </c>
      <c r="AZ282" t="s">
        <v>74</v>
      </c>
      <c r="BA282" t="s">
        <v>74</v>
      </c>
      <c r="BB282" t="s">
        <v>74</v>
      </c>
      <c r="BC282" t="s">
        <v>74</v>
      </c>
      <c r="BD282">
        <v>1059</v>
      </c>
      <c r="BE282" t="s">
        <v>4368</v>
      </c>
      <c r="BF282" t="str">
        <f>HYPERLINK("http://dx.doi.org/10.1029/2002GC000450","http://dx.doi.org/10.1029/2002GC000450")</f>
        <v>http://dx.doi.org/10.1029/2002GC000450</v>
      </c>
      <c r="BG282" t="s">
        <v>74</v>
      </c>
      <c r="BH282" t="s">
        <v>74</v>
      </c>
      <c r="BI282">
        <v>13</v>
      </c>
      <c r="BJ282" t="s">
        <v>176</v>
      </c>
      <c r="BK282" t="s">
        <v>94</v>
      </c>
      <c r="BL282" t="s">
        <v>176</v>
      </c>
      <c r="BM282" t="s">
        <v>4369</v>
      </c>
      <c r="BN282" t="s">
        <v>74</v>
      </c>
      <c r="BO282" t="s">
        <v>74</v>
      </c>
      <c r="BP282" t="s">
        <v>74</v>
      </c>
      <c r="BQ282" t="s">
        <v>74</v>
      </c>
      <c r="BR282" t="s">
        <v>97</v>
      </c>
      <c r="BS282" t="s">
        <v>4370</v>
      </c>
      <c r="BT282" t="str">
        <f>HYPERLINK("https%3A%2F%2Fwww.webofscience.com%2Fwos%2Fwoscc%2Ffull-record%2FWOS:000184598200002","View Full Record in Web of Science")</f>
        <v>View Full Record in Web of Science</v>
      </c>
    </row>
    <row r="283" spans="1:72" x14ac:dyDescent="0.15">
      <c r="A283" t="s">
        <v>72</v>
      </c>
      <c r="B283" t="s">
        <v>4371</v>
      </c>
      <c r="C283" t="s">
        <v>74</v>
      </c>
      <c r="D283" t="s">
        <v>74</v>
      </c>
      <c r="E283" t="s">
        <v>74</v>
      </c>
      <c r="F283" t="s">
        <v>4371</v>
      </c>
      <c r="G283" t="s">
        <v>74</v>
      </c>
      <c r="H283" t="s">
        <v>74</v>
      </c>
      <c r="I283" t="s">
        <v>4372</v>
      </c>
      <c r="J283" t="s">
        <v>4373</v>
      </c>
      <c r="K283" t="s">
        <v>74</v>
      </c>
      <c r="L283" t="s">
        <v>74</v>
      </c>
      <c r="M283" t="s">
        <v>77</v>
      </c>
      <c r="N283" t="s">
        <v>78</v>
      </c>
      <c r="O283" t="s">
        <v>74</v>
      </c>
      <c r="P283" t="s">
        <v>74</v>
      </c>
      <c r="Q283" t="s">
        <v>74</v>
      </c>
      <c r="R283" t="s">
        <v>74</v>
      </c>
      <c r="S283" t="s">
        <v>74</v>
      </c>
      <c r="T283" t="s">
        <v>4374</v>
      </c>
      <c r="U283" t="s">
        <v>4375</v>
      </c>
      <c r="V283" t="s">
        <v>4376</v>
      </c>
      <c r="W283" t="s">
        <v>4377</v>
      </c>
      <c r="X283" t="s">
        <v>4378</v>
      </c>
      <c r="Y283" t="s">
        <v>4379</v>
      </c>
      <c r="Z283" t="s">
        <v>74</v>
      </c>
      <c r="AA283" t="s">
        <v>4380</v>
      </c>
      <c r="AB283" t="s">
        <v>4381</v>
      </c>
      <c r="AC283" t="s">
        <v>74</v>
      </c>
      <c r="AD283" t="s">
        <v>74</v>
      </c>
      <c r="AE283" t="s">
        <v>74</v>
      </c>
      <c r="AF283" t="s">
        <v>74</v>
      </c>
      <c r="AG283">
        <v>29</v>
      </c>
      <c r="AH283">
        <v>35</v>
      </c>
      <c r="AI283">
        <v>48</v>
      </c>
      <c r="AJ283">
        <v>0</v>
      </c>
      <c r="AK283">
        <v>14</v>
      </c>
      <c r="AL283" t="s">
        <v>131</v>
      </c>
      <c r="AM283" t="s">
        <v>132</v>
      </c>
      <c r="AN283" t="s">
        <v>133</v>
      </c>
      <c r="AO283" t="s">
        <v>4382</v>
      </c>
      <c r="AP283" t="s">
        <v>74</v>
      </c>
      <c r="AQ283" t="s">
        <v>74</v>
      </c>
      <c r="AR283" t="s">
        <v>4383</v>
      </c>
      <c r="AS283" t="s">
        <v>4384</v>
      </c>
      <c r="AT283" t="s">
        <v>4307</v>
      </c>
      <c r="AU283">
        <v>2003</v>
      </c>
      <c r="AV283">
        <v>116</v>
      </c>
      <c r="AW283">
        <v>14</v>
      </c>
      <c r="AX283" t="s">
        <v>74</v>
      </c>
      <c r="AY283" t="s">
        <v>74</v>
      </c>
      <c r="AZ283" t="s">
        <v>74</v>
      </c>
      <c r="BA283" t="s">
        <v>74</v>
      </c>
      <c r="BB283">
        <v>2875</v>
      </c>
      <c r="BC283">
        <v>2883</v>
      </c>
      <c r="BD283" t="s">
        <v>74</v>
      </c>
      <c r="BE283" t="s">
        <v>4385</v>
      </c>
      <c r="BF283" t="str">
        <f>HYPERLINK("http://dx.doi.org/10.1242/jcs.00597","http://dx.doi.org/10.1242/jcs.00597")</f>
        <v>http://dx.doi.org/10.1242/jcs.00597</v>
      </c>
      <c r="BG283" t="s">
        <v>74</v>
      </c>
      <c r="BH283" t="s">
        <v>74</v>
      </c>
      <c r="BI283">
        <v>9</v>
      </c>
      <c r="BJ283" t="s">
        <v>4386</v>
      </c>
      <c r="BK283" t="s">
        <v>94</v>
      </c>
      <c r="BL283" t="s">
        <v>4386</v>
      </c>
      <c r="BM283" t="s">
        <v>4387</v>
      </c>
      <c r="BN283">
        <v>12771183</v>
      </c>
      <c r="BO283" t="s">
        <v>74</v>
      </c>
      <c r="BP283" t="s">
        <v>74</v>
      </c>
      <c r="BQ283" t="s">
        <v>74</v>
      </c>
      <c r="BR283" t="s">
        <v>97</v>
      </c>
      <c r="BS283" t="s">
        <v>4388</v>
      </c>
      <c r="BT283" t="str">
        <f>HYPERLINK("https%3A%2F%2Fwww.webofscience.com%2Fwos%2Fwoscc%2Ffull-record%2FWOS:000184368100007","View Full Record in Web of Science")</f>
        <v>View Full Record in Web of Science</v>
      </c>
    </row>
    <row r="284" spans="1:72" x14ac:dyDescent="0.15">
      <c r="A284" t="s">
        <v>72</v>
      </c>
      <c r="B284" t="s">
        <v>4389</v>
      </c>
      <c r="C284" t="s">
        <v>74</v>
      </c>
      <c r="D284" t="s">
        <v>74</v>
      </c>
      <c r="E284" t="s">
        <v>74</v>
      </c>
      <c r="F284" t="s">
        <v>4389</v>
      </c>
      <c r="G284" t="s">
        <v>74</v>
      </c>
      <c r="H284" t="s">
        <v>74</v>
      </c>
      <c r="I284" t="s">
        <v>4390</v>
      </c>
      <c r="J284" t="s">
        <v>665</v>
      </c>
      <c r="K284" t="s">
        <v>74</v>
      </c>
      <c r="L284" t="s">
        <v>74</v>
      </c>
      <c r="M284" t="s">
        <v>77</v>
      </c>
      <c r="N284" t="s">
        <v>556</v>
      </c>
      <c r="O284" t="s">
        <v>74</v>
      </c>
      <c r="P284" t="s">
        <v>74</v>
      </c>
      <c r="Q284" t="s">
        <v>74</v>
      </c>
      <c r="R284" t="s">
        <v>74</v>
      </c>
      <c r="S284" t="s">
        <v>74</v>
      </c>
      <c r="T284" t="s">
        <v>4391</v>
      </c>
      <c r="U284" t="s">
        <v>4392</v>
      </c>
      <c r="V284" t="s">
        <v>4393</v>
      </c>
      <c r="W284" t="s">
        <v>4394</v>
      </c>
      <c r="X284" t="s">
        <v>4395</v>
      </c>
      <c r="Y284" t="s">
        <v>4396</v>
      </c>
      <c r="Z284" t="s">
        <v>4397</v>
      </c>
      <c r="AA284" t="s">
        <v>74</v>
      </c>
      <c r="AB284" t="s">
        <v>74</v>
      </c>
      <c r="AC284" t="s">
        <v>74</v>
      </c>
      <c r="AD284" t="s">
        <v>74</v>
      </c>
      <c r="AE284" t="s">
        <v>74</v>
      </c>
      <c r="AF284" t="s">
        <v>74</v>
      </c>
      <c r="AG284">
        <v>101</v>
      </c>
      <c r="AH284">
        <v>6</v>
      </c>
      <c r="AI284">
        <v>6</v>
      </c>
      <c r="AJ284">
        <v>1</v>
      </c>
      <c r="AK284">
        <v>21</v>
      </c>
      <c r="AL284" t="s">
        <v>539</v>
      </c>
      <c r="AM284" t="s">
        <v>540</v>
      </c>
      <c r="AN284" t="s">
        <v>541</v>
      </c>
      <c r="AO284" t="s">
        <v>672</v>
      </c>
      <c r="AP284" t="s">
        <v>673</v>
      </c>
      <c r="AQ284" t="s">
        <v>74</v>
      </c>
      <c r="AR284" t="s">
        <v>674</v>
      </c>
      <c r="AS284" t="s">
        <v>675</v>
      </c>
      <c r="AT284" t="s">
        <v>4307</v>
      </c>
      <c r="AU284">
        <v>2003</v>
      </c>
      <c r="AV284">
        <v>108</v>
      </c>
      <c r="AW284" t="s">
        <v>4238</v>
      </c>
      <c r="AX284" t="s">
        <v>74</v>
      </c>
      <c r="AY284" t="s">
        <v>74</v>
      </c>
      <c r="AZ284" t="s">
        <v>74</v>
      </c>
      <c r="BA284" t="s">
        <v>74</v>
      </c>
      <c r="BB284" t="s">
        <v>74</v>
      </c>
      <c r="BC284" t="s">
        <v>74</v>
      </c>
      <c r="BD284">
        <v>3227</v>
      </c>
      <c r="BE284" t="s">
        <v>4398</v>
      </c>
      <c r="BF284" t="str">
        <f>HYPERLINK("http://dx.doi.org/10.1029/1999JC000288","http://dx.doi.org/10.1029/1999JC000288")</f>
        <v>http://dx.doi.org/10.1029/1999JC000288</v>
      </c>
      <c r="BG284" t="s">
        <v>74</v>
      </c>
      <c r="BH284" t="s">
        <v>74</v>
      </c>
      <c r="BI284">
        <v>17</v>
      </c>
      <c r="BJ284" t="s">
        <v>678</v>
      </c>
      <c r="BK284" t="s">
        <v>94</v>
      </c>
      <c r="BL284" t="s">
        <v>678</v>
      </c>
      <c r="BM284" t="s">
        <v>4399</v>
      </c>
      <c r="BN284" t="s">
        <v>74</v>
      </c>
      <c r="BO284" t="s">
        <v>96</v>
      </c>
      <c r="BP284" t="s">
        <v>74</v>
      </c>
      <c r="BQ284" t="s">
        <v>74</v>
      </c>
      <c r="BR284" t="s">
        <v>97</v>
      </c>
      <c r="BS284" t="s">
        <v>4400</v>
      </c>
      <c r="BT284" t="str">
        <f>HYPERLINK("https%3A%2F%2Fwww.webofscience.com%2Fwos%2Fwoscc%2Ffull-record%2FWOS:000184605600001","View Full Record in Web of Science")</f>
        <v>View Full Record in Web of Science</v>
      </c>
    </row>
    <row r="285" spans="1:72" x14ac:dyDescent="0.15">
      <c r="A285" t="s">
        <v>72</v>
      </c>
      <c r="B285" t="s">
        <v>4401</v>
      </c>
      <c r="C285" t="s">
        <v>74</v>
      </c>
      <c r="D285" t="s">
        <v>74</v>
      </c>
      <c r="E285" t="s">
        <v>74</v>
      </c>
      <c r="F285" t="s">
        <v>4401</v>
      </c>
      <c r="G285" t="s">
        <v>74</v>
      </c>
      <c r="H285" t="s">
        <v>74</v>
      </c>
      <c r="I285" t="s">
        <v>4402</v>
      </c>
      <c r="J285" t="s">
        <v>4403</v>
      </c>
      <c r="K285" t="s">
        <v>74</v>
      </c>
      <c r="L285" t="s">
        <v>74</v>
      </c>
      <c r="M285" t="s">
        <v>77</v>
      </c>
      <c r="N285" t="s">
        <v>52</v>
      </c>
      <c r="O285" t="s">
        <v>4404</v>
      </c>
      <c r="P285" t="s">
        <v>4405</v>
      </c>
      <c r="Q285" t="s">
        <v>4406</v>
      </c>
      <c r="R285" t="s">
        <v>74</v>
      </c>
      <c r="S285" t="s">
        <v>74</v>
      </c>
      <c r="T285" t="s">
        <v>74</v>
      </c>
      <c r="U285" t="s">
        <v>74</v>
      </c>
      <c r="V285" t="s">
        <v>74</v>
      </c>
      <c r="W285" t="s">
        <v>4407</v>
      </c>
      <c r="X285" t="s">
        <v>4408</v>
      </c>
      <c r="Y285" t="s">
        <v>74</v>
      </c>
      <c r="Z285" t="s">
        <v>74</v>
      </c>
      <c r="AA285" t="s">
        <v>4409</v>
      </c>
      <c r="AB285" t="s">
        <v>4410</v>
      </c>
      <c r="AC285" t="s">
        <v>74</v>
      </c>
      <c r="AD285" t="s">
        <v>74</v>
      </c>
      <c r="AE285" t="s">
        <v>74</v>
      </c>
      <c r="AF285" t="s">
        <v>74</v>
      </c>
      <c r="AG285">
        <v>3</v>
      </c>
      <c r="AH285">
        <v>1</v>
      </c>
      <c r="AI285">
        <v>1</v>
      </c>
      <c r="AJ285">
        <v>0</v>
      </c>
      <c r="AK285">
        <v>1</v>
      </c>
      <c r="AL285" t="s">
        <v>1571</v>
      </c>
      <c r="AM285" t="s">
        <v>229</v>
      </c>
      <c r="AN285" t="s">
        <v>1572</v>
      </c>
      <c r="AO285" t="s">
        <v>4411</v>
      </c>
      <c r="AP285" t="s">
        <v>74</v>
      </c>
      <c r="AQ285" t="s">
        <v>74</v>
      </c>
      <c r="AR285" t="s">
        <v>4412</v>
      </c>
      <c r="AS285" t="s">
        <v>4413</v>
      </c>
      <c r="AT285" t="s">
        <v>4307</v>
      </c>
      <c r="AU285">
        <v>2003</v>
      </c>
      <c r="AV285">
        <v>96</v>
      </c>
      <c r="AW285">
        <v>1</v>
      </c>
      <c r="AX285" t="s">
        <v>74</v>
      </c>
      <c r="AY285" t="s">
        <v>74</v>
      </c>
      <c r="AZ285" t="s">
        <v>74</v>
      </c>
      <c r="BA285" t="s">
        <v>74</v>
      </c>
      <c r="BB285">
        <v>230</v>
      </c>
      <c r="BC285">
        <v>230</v>
      </c>
      <c r="BD285" t="s">
        <v>74</v>
      </c>
      <c r="BE285" t="s">
        <v>4414</v>
      </c>
      <c r="BF285" t="str">
        <f>HYPERLINK("http://dx.doi.org/10.1016/S0162-0134(03)80770-5","http://dx.doi.org/10.1016/S0162-0134(03)80770-5")</f>
        <v>http://dx.doi.org/10.1016/S0162-0134(03)80770-5</v>
      </c>
      <c r="BG285" t="s">
        <v>74</v>
      </c>
      <c r="BH285" t="s">
        <v>74</v>
      </c>
      <c r="BI285">
        <v>1</v>
      </c>
      <c r="BJ285" t="s">
        <v>4415</v>
      </c>
      <c r="BK285" t="s">
        <v>854</v>
      </c>
      <c r="BL285" t="s">
        <v>2095</v>
      </c>
      <c r="BM285" t="s">
        <v>4416</v>
      </c>
      <c r="BN285" t="s">
        <v>74</v>
      </c>
      <c r="BO285" t="s">
        <v>74</v>
      </c>
      <c r="BP285" t="s">
        <v>74</v>
      </c>
      <c r="BQ285" t="s">
        <v>74</v>
      </c>
      <c r="BR285" t="s">
        <v>97</v>
      </c>
      <c r="BS285" t="s">
        <v>4417</v>
      </c>
      <c r="BT285" t="str">
        <f>HYPERLINK("https%3A%2F%2Fwww.webofscience.com%2Fwos%2Fwoscc%2Ffull-record%2FWOS:000184009800359","View Full Record in Web of Science")</f>
        <v>View Full Record in Web of Science</v>
      </c>
    </row>
    <row r="286" spans="1:72" x14ac:dyDescent="0.15">
      <c r="A286" t="s">
        <v>72</v>
      </c>
      <c r="B286" t="s">
        <v>4418</v>
      </c>
      <c r="C286" t="s">
        <v>74</v>
      </c>
      <c r="D286" t="s">
        <v>74</v>
      </c>
      <c r="E286" t="s">
        <v>74</v>
      </c>
      <c r="F286" t="s">
        <v>4418</v>
      </c>
      <c r="G286" t="s">
        <v>74</v>
      </c>
      <c r="H286" t="s">
        <v>74</v>
      </c>
      <c r="I286" t="s">
        <v>4419</v>
      </c>
      <c r="J286" t="s">
        <v>978</v>
      </c>
      <c r="K286" t="s">
        <v>74</v>
      </c>
      <c r="L286" t="s">
        <v>74</v>
      </c>
      <c r="M286" t="s">
        <v>77</v>
      </c>
      <c r="N286" t="s">
        <v>78</v>
      </c>
      <c r="O286" t="s">
        <v>74</v>
      </c>
      <c r="P286" t="s">
        <v>74</v>
      </c>
      <c r="Q286" t="s">
        <v>74</v>
      </c>
      <c r="R286" t="s">
        <v>74</v>
      </c>
      <c r="S286" t="s">
        <v>74</v>
      </c>
      <c r="T286" t="s">
        <v>4420</v>
      </c>
      <c r="U286" t="s">
        <v>4421</v>
      </c>
      <c r="V286" t="s">
        <v>4422</v>
      </c>
      <c r="W286" t="s">
        <v>4423</v>
      </c>
      <c r="X286" t="s">
        <v>4424</v>
      </c>
      <c r="Y286" t="s">
        <v>984</v>
      </c>
      <c r="Z286" t="s">
        <v>985</v>
      </c>
      <c r="AA286" t="s">
        <v>986</v>
      </c>
      <c r="AB286" t="s">
        <v>987</v>
      </c>
      <c r="AC286" t="s">
        <v>74</v>
      </c>
      <c r="AD286" t="s">
        <v>74</v>
      </c>
      <c r="AE286" t="s">
        <v>74</v>
      </c>
      <c r="AF286" t="s">
        <v>74</v>
      </c>
      <c r="AG286">
        <v>32</v>
      </c>
      <c r="AH286">
        <v>103</v>
      </c>
      <c r="AI286">
        <v>110</v>
      </c>
      <c r="AJ286">
        <v>0</v>
      </c>
      <c r="AK286">
        <v>11</v>
      </c>
      <c r="AL286" t="s">
        <v>781</v>
      </c>
      <c r="AM286" t="s">
        <v>111</v>
      </c>
      <c r="AN286" t="s">
        <v>782</v>
      </c>
      <c r="AO286" t="s">
        <v>988</v>
      </c>
      <c r="AP286" t="s">
        <v>989</v>
      </c>
      <c r="AQ286" t="s">
        <v>74</v>
      </c>
      <c r="AR286" t="s">
        <v>990</v>
      </c>
      <c r="AS286" t="s">
        <v>991</v>
      </c>
      <c r="AT286" t="s">
        <v>4307</v>
      </c>
      <c r="AU286">
        <v>2003</v>
      </c>
      <c r="AV286">
        <v>125</v>
      </c>
      <c r="AW286" t="s">
        <v>787</v>
      </c>
      <c r="AX286" t="s">
        <v>74</v>
      </c>
      <c r="AY286" t="s">
        <v>74</v>
      </c>
      <c r="AZ286" t="s">
        <v>74</v>
      </c>
      <c r="BA286" t="s">
        <v>74</v>
      </c>
      <c r="BB286">
        <v>1</v>
      </c>
      <c r="BC286">
        <v>20</v>
      </c>
      <c r="BD286" t="s">
        <v>74</v>
      </c>
      <c r="BE286" t="s">
        <v>4425</v>
      </c>
      <c r="BF286" t="str">
        <f>HYPERLINK("http://dx.doi.org/10.1016/S0301-9268(03)00048-2","http://dx.doi.org/10.1016/S0301-9268(03)00048-2")</f>
        <v>http://dx.doi.org/10.1016/S0301-9268(03)00048-2</v>
      </c>
      <c r="BG286" t="s">
        <v>74</v>
      </c>
      <c r="BH286" t="s">
        <v>74</v>
      </c>
      <c r="BI286">
        <v>20</v>
      </c>
      <c r="BJ286" t="s">
        <v>548</v>
      </c>
      <c r="BK286" t="s">
        <v>94</v>
      </c>
      <c r="BL286" t="s">
        <v>549</v>
      </c>
      <c r="BM286" t="s">
        <v>4426</v>
      </c>
      <c r="BN286" t="s">
        <v>74</v>
      </c>
      <c r="BO286" t="s">
        <v>74</v>
      </c>
      <c r="BP286" t="s">
        <v>74</v>
      </c>
      <c r="BQ286" t="s">
        <v>74</v>
      </c>
      <c r="BR286" t="s">
        <v>97</v>
      </c>
      <c r="BS286" t="s">
        <v>4427</v>
      </c>
      <c r="BT286" t="str">
        <f>HYPERLINK("https%3A%2F%2Fwww.webofscience.com%2Fwos%2Fwoscc%2Ffull-record%2FWOS:000183733100001","View Full Record in Web of Science")</f>
        <v>View Full Record in Web of Science</v>
      </c>
    </row>
    <row r="287" spans="1:72" x14ac:dyDescent="0.15">
      <c r="A287" t="s">
        <v>72</v>
      </c>
      <c r="B287" t="s">
        <v>4428</v>
      </c>
      <c r="C287" t="s">
        <v>74</v>
      </c>
      <c r="D287" t="s">
        <v>74</v>
      </c>
      <c r="E287" t="s">
        <v>74</v>
      </c>
      <c r="F287" t="s">
        <v>4428</v>
      </c>
      <c r="G287" t="s">
        <v>74</v>
      </c>
      <c r="H287" t="s">
        <v>74</v>
      </c>
      <c r="I287" t="s">
        <v>4429</v>
      </c>
      <c r="J287" t="s">
        <v>4430</v>
      </c>
      <c r="K287" t="s">
        <v>74</v>
      </c>
      <c r="L287" t="s">
        <v>74</v>
      </c>
      <c r="M287" t="s">
        <v>77</v>
      </c>
      <c r="N287" t="s">
        <v>78</v>
      </c>
      <c r="O287" t="s">
        <v>74</v>
      </c>
      <c r="P287" t="s">
        <v>74</v>
      </c>
      <c r="Q287" t="s">
        <v>74</v>
      </c>
      <c r="R287" t="s">
        <v>74</v>
      </c>
      <c r="S287" t="s">
        <v>74</v>
      </c>
      <c r="T287" t="s">
        <v>4431</v>
      </c>
      <c r="U287" t="s">
        <v>4432</v>
      </c>
      <c r="V287" t="s">
        <v>4433</v>
      </c>
      <c r="W287" t="s">
        <v>4434</v>
      </c>
      <c r="X287" t="s">
        <v>4435</v>
      </c>
      <c r="Y287" t="s">
        <v>4436</v>
      </c>
      <c r="Z287" t="s">
        <v>4437</v>
      </c>
      <c r="AA287" t="s">
        <v>4438</v>
      </c>
      <c r="AB287" t="s">
        <v>4439</v>
      </c>
      <c r="AC287" t="s">
        <v>74</v>
      </c>
      <c r="AD287" t="s">
        <v>74</v>
      </c>
      <c r="AE287" t="s">
        <v>74</v>
      </c>
      <c r="AF287" t="s">
        <v>74</v>
      </c>
      <c r="AG287">
        <v>21</v>
      </c>
      <c r="AH287">
        <v>21</v>
      </c>
      <c r="AI287">
        <v>23</v>
      </c>
      <c r="AJ287">
        <v>0</v>
      </c>
      <c r="AK287">
        <v>4</v>
      </c>
      <c r="AL287" t="s">
        <v>169</v>
      </c>
      <c r="AM287" t="s">
        <v>170</v>
      </c>
      <c r="AN287" t="s">
        <v>171</v>
      </c>
      <c r="AO287" t="s">
        <v>4440</v>
      </c>
      <c r="AP287" t="s">
        <v>74</v>
      </c>
      <c r="AQ287" t="s">
        <v>74</v>
      </c>
      <c r="AR287" t="s">
        <v>4430</v>
      </c>
      <c r="AS287" t="s">
        <v>4441</v>
      </c>
      <c r="AT287" t="s">
        <v>4442</v>
      </c>
      <c r="AU287">
        <v>2003</v>
      </c>
      <c r="AV287">
        <v>59</v>
      </c>
      <c r="AW287">
        <v>29</v>
      </c>
      <c r="AX287" t="s">
        <v>74</v>
      </c>
      <c r="AY287" t="s">
        <v>74</v>
      </c>
      <c r="AZ287" t="s">
        <v>74</v>
      </c>
      <c r="BA287" t="s">
        <v>74</v>
      </c>
      <c r="BB287">
        <v>5579</v>
      </c>
      <c r="BC287">
        <v>5583</v>
      </c>
      <c r="BD287" t="s">
        <v>74</v>
      </c>
      <c r="BE287" t="s">
        <v>4443</v>
      </c>
      <c r="BF287" t="str">
        <f>HYPERLINK("http://dx.doi.org/10.1016/S0040-4020(03)00775-0","http://dx.doi.org/10.1016/S0040-4020(03)00775-0")</f>
        <v>http://dx.doi.org/10.1016/S0040-4020(03)00775-0</v>
      </c>
      <c r="BG287" t="s">
        <v>74</v>
      </c>
      <c r="BH287" t="s">
        <v>74</v>
      </c>
      <c r="BI287">
        <v>5</v>
      </c>
      <c r="BJ287" t="s">
        <v>4141</v>
      </c>
      <c r="BK287" t="s">
        <v>3339</v>
      </c>
      <c r="BL287" t="s">
        <v>4142</v>
      </c>
      <c r="BM287" t="s">
        <v>4444</v>
      </c>
      <c r="BN287" t="s">
        <v>74</v>
      </c>
      <c r="BO287" t="s">
        <v>74</v>
      </c>
      <c r="BP287" t="s">
        <v>74</v>
      </c>
      <c r="BQ287" t="s">
        <v>74</v>
      </c>
      <c r="BR287" t="s">
        <v>97</v>
      </c>
      <c r="BS287" t="s">
        <v>4445</v>
      </c>
      <c r="BT287" t="str">
        <f>HYPERLINK("https%3A%2F%2Fwww.webofscience.com%2Fwos%2Fwoscc%2Ffull-record%2FWOS:000184164900025","View Full Record in Web of Science")</f>
        <v>View Full Record in Web of Science</v>
      </c>
    </row>
    <row r="288" spans="1:72" x14ac:dyDescent="0.15">
      <c r="A288" t="s">
        <v>72</v>
      </c>
      <c r="B288" t="s">
        <v>4446</v>
      </c>
      <c r="C288" t="s">
        <v>74</v>
      </c>
      <c r="D288" t="s">
        <v>74</v>
      </c>
      <c r="E288" t="s">
        <v>74</v>
      </c>
      <c r="F288" t="s">
        <v>4446</v>
      </c>
      <c r="G288" t="s">
        <v>74</v>
      </c>
      <c r="H288" t="s">
        <v>74</v>
      </c>
      <c r="I288" t="s">
        <v>4447</v>
      </c>
      <c r="J288" t="s">
        <v>683</v>
      </c>
      <c r="K288" t="s">
        <v>74</v>
      </c>
      <c r="L288" t="s">
        <v>74</v>
      </c>
      <c r="M288" t="s">
        <v>77</v>
      </c>
      <c r="N288" t="s">
        <v>78</v>
      </c>
      <c r="O288" t="s">
        <v>74</v>
      </c>
      <c r="P288" t="s">
        <v>74</v>
      </c>
      <c r="Q288" t="s">
        <v>74</v>
      </c>
      <c r="R288" t="s">
        <v>74</v>
      </c>
      <c r="S288" t="s">
        <v>74</v>
      </c>
      <c r="T288" t="s">
        <v>4448</v>
      </c>
      <c r="U288" t="s">
        <v>4449</v>
      </c>
      <c r="V288" t="s">
        <v>74</v>
      </c>
      <c r="W288" t="s">
        <v>4450</v>
      </c>
      <c r="X288" t="s">
        <v>4451</v>
      </c>
      <c r="Y288" t="s">
        <v>2660</v>
      </c>
      <c r="Z288" t="s">
        <v>74</v>
      </c>
      <c r="AA288" t="s">
        <v>4452</v>
      </c>
      <c r="AB288" t="s">
        <v>4453</v>
      </c>
      <c r="AC288" t="s">
        <v>74</v>
      </c>
      <c r="AD288" t="s">
        <v>74</v>
      </c>
      <c r="AE288" t="s">
        <v>74</v>
      </c>
      <c r="AF288" t="s">
        <v>74</v>
      </c>
      <c r="AG288">
        <v>29</v>
      </c>
      <c r="AH288">
        <v>4</v>
      </c>
      <c r="AI288">
        <v>4</v>
      </c>
      <c r="AJ288">
        <v>0</v>
      </c>
      <c r="AK288">
        <v>7</v>
      </c>
      <c r="AL288" t="s">
        <v>539</v>
      </c>
      <c r="AM288" t="s">
        <v>540</v>
      </c>
      <c r="AN288" t="s">
        <v>541</v>
      </c>
      <c r="AO288" t="s">
        <v>693</v>
      </c>
      <c r="AP288" t="s">
        <v>74</v>
      </c>
      <c r="AQ288" t="s">
        <v>74</v>
      </c>
      <c r="AR288" t="s">
        <v>694</v>
      </c>
      <c r="AS288" t="s">
        <v>695</v>
      </c>
      <c r="AT288" t="s">
        <v>4454</v>
      </c>
      <c r="AU288">
        <v>2003</v>
      </c>
      <c r="AV288">
        <v>4</v>
      </c>
      <c r="AW288" t="s">
        <v>74</v>
      </c>
      <c r="AX288" t="s">
        <v>74</v>
      </c>
      <c r="AY288" t="s">
        <v>74</v>
      </c>
      <c r="AZ288" t="s">
        <v>74</v>
      </c>
      <c r="BA288" t="s">
        <v>74</v>
      </c>
      <c r="BB288" t="s">
        <v>74</v>
      </c>
      <c r="BC288" t="s">
        <v>74</v>
      </c>
      <c r="BD288">
        <v>1058</v>
      </c>
      <c r="BE288" t="s">
        <v>4455</v>
      </c>
      <c r="BF288" t="str">
        <f>HYPERLINK("http://dx.doi.org/10.1029/2002GC000463","http://dx.doi.org/10.1029/2002GC000463")</f>
        <v>http://dx.doi.org/10.1029/2002GC000463</v>
      </c>
      <c r="BG288" t="s">
        <v>74</v>
      </c>
      <c r="BH288" t="s">
        <v>74</v>
      </c>
      <c r="BI288">
        <v>5</v>
      </c>
      <c r="BJ288" t="s">
        <v>176</v>
      </c>
      <c r="BK288" t="s">
        <v>94</v>
      </c>
      <c r="BL288" t="s">
        <v>176</v>
      </c>
      <c r="BM288" t="s">
        <v>4456</v>
      </c>
      <c r="BN288" t="s">
        <v>74</v>
      </c>
      <c r="BO288" t="s">
        <v>96</v>
      </c>
      <c r="BP288" t="s">
        <v>74</v>
      </c>
      <c r="BQ288" t="s">
        <v>74</v>
      </c>
      <c r="BR288" t="s">
        <v>97</v>
      </c>
      <c r="BS288" t="s">
        <v>4457</v>
      </c>
      <c r="BT288" t="str">
        <f>HYPERLINK("https%3A%2F%2Fwww.webofscience.com%2Fwos%2Fwoscc%2Ffull-record%2FWOS:000184337800003","View Full Record in Web of Science")</f>
        <v>View Full Record in Web of Science</v>
      </c>
    </row>
    <row r="289" spans="1:72" x14ac:dyDescent="0.15">
      <c r="A289" t="s">
        <v>72</v>
      </c>
      <c r="B289" t="s">
        <v>4458</v>
      </c>
      <c r="C289" t="s">
        <v>74</v>
      </c>
      <c r="D289" t="s">
        <v>74</v>
      </c>
      <c r="E289" t="s">
        <v>74</v>
      </c>
      <c r="F289" t="s">
        <v>4458</v>
      </c>
      <c r="G289" t="s">
        <v>74</v>
      </c>
      <c r="H289" t="s">
        <v>74</v>
      </c>
      <c r="I289" t="s">
        <v>4459</v>
      </c>
      <c r="J289" t="s">
        <v>530</v>
      </c>
      <c r="K289" t="s">
        <v>74</v>
      </c>
      <c r="L289" t="s">
        <v>74</v>
      </c>
      <c r="M289" t="s">
        <v>77</v>
      </c>
      <c r="N289" t="s">
        <v>78</v>
      </c>
      <c r="O289" t="s">
        <v>74</v>
      </c>
      <c r="P289" t="s">
        <v>74</v>
      </c>
      <c r="Q289" t="s">
        <v>74</v>
      </c>
      <c r="R289" t="s">
        <v>74</v>
      </c>
      <c r="S289" t="s">
        <v>74</v>
      </c>
      <c r="T289" t="s">
        <v>74</v>
      </c>
      <c r="U289" t="s">
        <v>4460</v>
      </c>
      <c r="V289" t="s">
        <v>4461</v>
      </c>
      <c r="W289" t="s">
        <v>4462</v>
      </c>
      <c r="X289" t="s">
        <v>4463</v>
      </c>
      <c r="Y289" t="s">
        <v>4464</v>
      </c>
      <c r="Z289" t="s">
        <v>4465</v>
      </c>
      <c r="AA289" t="s">
        <v>4466</v>
      </c>
      <c r="AB289" t="s">
        <v>4467</v>
      </c>
      <c r="AC289" t="s">
        <v>74</v>
      </c>
      <c r="AD289" t="s">
        <v>74</v>
      </c>
      <c r="AE289" t="s">
        <v>74</v>
      </c>
      <c r="AF289" t="s">
        <v>74</v>
      </c>
      <c r="AG289">
        <v>31</v>
      </c>
      <c r="AH289">
        <v>35</v>
      </c>
      <c r="AI289">
        <v>39</v>
      </c>
      <c r="AJ289">
        <v>0</v>
      </c>
      <c r="AK289">
        <v>11</v>
      </c>
      <c r="AL289" t="s">
        <v>539</v>
      </c>
      <c r="AM289" t="s">
        <v>540</v>
      </c>
      <c r="AN289" t="s">
        <v>541</v>
      </c>
      <c r="AO289" t="s">
        <v>542</v>
      </c>
      <c r="AP289" t="s">
        <v>543</v>
      </c>
      <c r="AQ289" t="s">
        <v>74</v>
      </c>
      <c r="AR289" t="s">
        <v>544</v>
      </c>
      <c r="AS289" t="s">
        <v>545</v>
      </c>
      <c r="AT289" t="s">
        <v>4468</v>
      </c>
      <c r="AU289">
        <v>2003</v>
      </c>
      <c r="AV289">
        <v>30</v>
      </c>
      <c r="AW289">
        <v>13</v>
      </c>
      <c r="AX289" t="s">
        <v>74</v>
      </c>
      <c r="AY289" t="s">
        <v>74</v>
      </c>
      <c r="AZ289" t="s">
        <v>74</v>
      </c>
      <c r="BA289" t="s">
        <v>74</v>
      </c>
      <c r="BB289" t="s">
        <v>74</v>
      </c>
      <c r="BC289" t="s">
        <v>74</v>
      </c>
      <c r="BD289">
        <v>1702</v>
      </c>
      <c r="BE289" t="s">
        <v>4469</v>
      </c>
      <c r="BF289" t="str">
        <f>HYPERLINK("http://dx.doi.org/10.1029/2003GL017490","http://dx.doi.org/10.1029/2003GL017490")</f>
        <v>http://dx.doi.org/10.1029/2003GL017490</v>
      </c>
      <c r="BG289" t="s">
        <v>74</v>
      </c>
      <c r="BH289" t="s">
        <v>74</v>
      </c>
      <c r="BI289">
        <v>4</v>
      </c>
      <c r="BJ289" t="s">
        <v>548</v>
      </c>
      <c r="BK289" t="s">
        <v>94</v>
      </c>
      <c r="BL289" t="s">
        <v>549</v>
      </c>
      <c r="BM289" t="s">
        <v>4470</v>
      </c>
      <c r="BN289" t="s">
        <v>74</v>
      </c>
      <c r="BO289" t="s">
        <v>74</v>
      </c>
      <c r="BP289" t="s">
        <v>74</v>
      </c>
      <c r="BQ289" t="s">
        <v>74</v>
      </c>
      <c r="BR289" t="s">
        <v>97</v>
      </c>
      <c r="BS289" t="s">
        <v>4471</v>
      </c>
      <c r="BT289" t="str">
        <f>HYPERLINK("https%3A%2F%2Fwww.webofscience.com%2Fwos%2Fwoscc%2Ffull-record%2FWOS:000184338500005","View Full Record in Web of Science")</f>
        <v>View Full Record in Web of Science</v>
      </c>
    </row>
    <row r="290" spans="1:72" x14ac:dyDescent="0.15">
      <c r="A290" t="s">
        <v>72</v>
      </c>
      <c r="B290" t="s">
        <v>4472</v>
      </c>
      <c r="C290" t="s">
        <v>74</v>
      </c>
      <c r="D290" t="s">
        <v>74</v>
      </c>
      <c r="E290" t="s">
        <v>74</v>
      </c>
      <c r="F290" t="s">
        <v>4472</v>
      </c>
      <c r="G290" t="s">
        <v>74</v>
      </c>
      <c r="H290" t="s">
        <v>74</v>
      </c>
      <c r="I290" t="s">
        <v>4473</v>
      </c>
      <c r="J290" t="s">
        <v>4474</v>
      </c>
      <c r="K290" t="s">
        <v>74</v>
      </c>
      <c r="L290" t="s">
        <v>74</v>
      </c>
      <c r="M290" t="s">
        <v>77</v>
      </c>
      <c r="N290" t="s">
        <v>78</v>
      </c>
      <c r="O290" t="s">
        <v>74</v>
      </c>
      <c r="P290" t="s">
        <v>74</v>
      </c>
      <c r="Q290" t="s">
        <v>74</v>
      </c>
      <c r="R290" t="s">
        <v>74</v>
      </c>
      <c r="S290" t="s">
        <v>74</v>
      </c>
      <c r="T290" t="s">
        <v>74</v>
      </c>
      <c r="U290" t="s">
        <v>4475</v>
      </c>
      <c r="V290" t="s">
        <v>4476</v>
      </c>
      <c r="W290" t="s">
        <v>4477</v>
      </c>
      <c r="X290" t="s">
        <v>4478</v>
      </c>
      <c r="Y290" t="s">
        <v>4479</v>
      </c>
      <c r="Z290" t="s">
        <v>74</v>
      </c>
      <c r="AA290" t="s">
        <v>74</v>
      </c>
      <c r="AB290" t="s">
        <v>74</v>
      </c>
      <c r="AC290" t="s">
        <v>74</v>
      </c>
      <c r="AD290" t="s">
        <v>74</v>
      </c>
      <c r="AE290" t="s">
        <v>74</v>
      </c>
      <c r="AF290" t="s">
        <v>74</v>
      </c>
      <c r="AG290">
        <v>63</v>
      </c>
      <c r="AH290">
        <v>22</v>
      </c>
      <c r="AI290">
        <v>28</v>
      </c>
      <c r="AJ290">
        <v>1</v>
      </c>
      <c r="AK290">
        <v>17</v>
      </c>
      <c r="AL290" t="s">
        <v>3115</v>
      </c>
      <c r="AM290" t="s">
        <v>3116</v>
      </c>
      <c r="AN290" t="s">
        <v>3117</v>
      </c>
      <c r="AO290" t="s">
        <v>4480</v>
      </c>
      <c r="AP290" t="s">
        <v>74</v>
      </c>
      <c r="AQ290" t="s">
        <v>74</v>
      </c>
      <c r="AR290" t="s">
        <v>4481</v>
      </c>
      <c r="AS290" t="s">
        <v>4482</v>
      </c>
      <c r="AT290" t="s">
        <v>4483</v>
      </c>
      <c r="AU290">
        <v>2003</v>
      </c>
      <c r="AV290">
        <v>3</v>
      </c>
      <c r="AW290" t="s">
        <v>74</v>
      </c>
      <c r="AX290" t="s">
        <v>74</v>
      </c>
      <c r="AY290" t="s">
        <v>74</v>
      </c>
      <c r="AZ290" t="s">
        <v>74</v>
      </c>
      <c r="BA290" t="s">
        <v>74</v>
      </c>
      <c r="BB290">
        <v>987</v>
      </c>
      <c r="BC290">
        <v>997</v>
      </c>
      <c r="BD290" t="s">
        <v>74</v>
      </c>
      <c r="BE290" t="s">
        <v>4484</v>
      </c>
      <c r="BF290" t="str">
        <f>HYPERLINK("http://dx.doi.org/10.5194/acp-3-987-2003","http://dx.doi.org/10.5194/acp-3-987-2003")</f>
        <v>http://dx.doi.org/10.5194/acp-3-987-2003</v>
      </c>
      <c r="BG290" t="s">
        <v>74</v>
      </c>
      <c r="BH290" t="s">
        <v>74</v>
      </c>
      <c r="BI290">
        <v>11</v>
      </c>
      <c r="BJ290" t="s">
        <v>4485</v>
      </c>
      <c r="BK290" t="s">
        <v>94</v>
      </c>
      <c r="BL290" t="s">
        <v>4486</v>
      </c>
      <c r="BM290" t="s">
        <v>4487</v>
      </c>
      <c r="BN290" t="s">
        <v>74</v>
      </c>
      <c r="BO290" t="s">
        <v>3126</v>
      </c>
      <c r="BP290" t="s">
        <v>74</v>
      </c>
      <c r="BQ290" t="s">
        <v>74</v>
      </c>
      <c r="BR290" t="s">
        <v>97</v>
      </c>
      <c r="BS290" t="s">
        <v>4488</v>
      </c>
      <c r="BT290" t="str">
        <f>HYPERLINK("https%3A%2F%2Fwww.webofscience.com%2Fwos%2Fwoscc%2Ffull-record%2FWOS:000184098300002","View Full Record in Web of Science")</f>
        <v>View Full Record in Web of Science</v>
      </c>
    </row>
    <row r="291" spans="1:72" x14ac:dyDescent="0.15">
      <c r="A291" t="s">
        <v>72</v>
      </c>
      <c r="B291" t="s">
        <v>4489</v>
      </c>
      <c r="C291" t="s">
        <v>74</v>
      </c>
      <c r="D291" t="s">
        <v>74</v>
      </c>
      <c r="E291" t="s">
        <v>74</v>
      </c>
      <c r="F291" t="s">
        <v>4489</v>
      </c>
      <c r="G291" t="s">
        <v>74</v>
      </c>
      <c r="H291" t="s">
        <v>74</v>
      </c>
      <c r="I291" t="s">
        <v>4490</v>
      </c>
      <c r="J291" t="s">
        <v>728</v>
      </c>
      <c r="K291" t="s">
        <v>74</v>
      </c>
      <c r="L291" t="s">
        <v>74</v>
      </c>
      <c r="M291" t="s">
        <v>77</v>
      </c>
      <c r="N291" t="s">
        <v>556</v>
      </c>
      <c r="O291" t="s">
        <v>74</v>
      </c>
      <c r="P291" t="s">
        <v>74</v>
      </c>
      <c r="Q291" t="s">
        <v>74</v>
      </c>
      <c r="R291" t="s">
        <v>74</v>
      </c>
      <c r="S291" t="s">
        <v>74</v>
      </c>
      <c r="T291" t="s">
        <v>4491</v>
      </c>
      <c r="U291" t="s">
        <v>4492</v>
      </c>
      <c r="V291" t="s">
        <v>4493</v>
      </c>
      <c r="W291" t="s">
        <v>4494</v>
      </c>
      <c r="X291" t="s">
        <v>4495</v>
      </c>
      <c r="Y291" t="s">
        <v>4496</v>
      </c>
      <c r="Z291" t="s">
        <v>4497</v>
      </c>
      <c r="AA291" t="s">
        <v>4498</v>
      </c>
      <c r="AB291" t="s">
        <v>4499</v>
      </c>
      <c r="AC291" t="s">
        <v>74</v>
      </c>
      <c r="AD291" t="s">
        <v>74</v>
      </c>
      <c r="AE291" t="s">
        <v>74</v>
      </c>
      <c r="AF291" t="s">
        <v>74</v>
      </c>
      <c r="AG291">
        <v>129</v>
      </c>
      <c r="AH291">
        <v>91</v>
      </c>
      <c r="AI291">
        <v>99</v>
      </c>
      <c r="AJ291">
        <v>1</v>
      </c>
      <c r="AK291">
        <v>15</v>
      </c>
      <c r="AL291" t="s">
        <v>539</v>
      </c>
      <c r="AM291" t="s">
        <v>540</v>
      </c>
      <c r="AN291" t="s">
        <v>541</v>
      </c>
      <c r="AO291" t="s">
        <v>736</v>
      </c>
      <c r="AP291" t="s">
        <v>737</v>
      </c>
      <c r="AQ291" t="s">
        <v>74</v>
      </c>
      <c r="AR291" t="s">
        <v>738</v>
      </c>
      <c r="AS291" t="s">
        <v>739</v>
      </c>
      <c r="AT291" t="s">
        <v>4483</v>
      </c>
      <c r="AU291">
        <v>2003</v>
      </c>
      <c r="AV291">
        <v>108</v>
      </c>
      <c r="AW291" t="s">
        <v>4500</v>
      </c>
      <c r="AX291" t="s">
        <v>74</v>
      </c>
      <c r="AY291" t="s">
        <v>74</v>
      </c>
      <c r="AZ291" t="s">
        <v>74</v>
      </c>
      <c r="BA291" t="s">
        <v>74</v>
      </c>
      <c r="BB291" t="s">
        <v>74</v>
      </c>
      <c r="BC291" t="s">
        <v>74</v>
      </c>
      <c r="BD291">
        <v>2332</v>
      </c>
      <c r="BE291" t="s">
        <v>4501</v>
      </c>
      <c r="BF291" t="str">
        <f>HYPERLINK("http://dx.doi.org/10.1029/2001JB001050","http://dx.doi.org/10.1029/2001JB001050")</f>
        <v>http://dx.doi.org/10.1029/2001JB001050</v>
      </c>
      <c r="BG291" t="s">
        <v>74</v>
      </c>
      <c r="BH291" t="s">
        <v>74</v>
      </c>
      <c r="BI291">
        <v>21</v>
      </c>
      <c r="BJ291" t="s">
        <v>176</v>
      </c>
      <c r="BK291" t="s">
        <v>94</v>
      </c>
      <c r="BL291" t="s">
        <v>176</v>
      </c>
      <c r="BM291" t="s">
        <v>4502</v>
      </c>
      <c r="BN291" t="s">
        <v>74</v>
      </c>
      <c r="BO291" t="s">
        <v>154</v>
      </c>
      <c r="BP291" t="s">
        <v>74</v>
      </c>
      <c r="BQ291" t="s">
        <v>74</v>
      </c>
      <c r="BR291" t="s">
        <v>97</v>
      </c>
      <c r="BS291" t="s">
        <v>4503</v>
      </c>
      <c r="BT291" t="str">
        <f>HYPERLINK("https%3A%2F%2Fwww.webofscience.com%2Fwos%2Fwoscc%2Ffull-record%2FWOS:000184425700001","View Full Record in Web of Science")</f>
        <v>View Full Record in Web of Science</v>
      </c>
    </row>
    <row r="292" spans="1:72" x14ac:dyDescent="0.15">
      <c r="A292" t="s">
        <v>72</v>
      </c>
      <c r="B292" t="s">
        <v>4504</v>
      </c>
      <c r="C292" t="s">
        <v>74</v>
      </c>
      <c r="D292" t="s">
        <v>74</v>
      </c>
      <c r="E292" t="s">
        <v>74</v>
      </c>
      <c r="F292" t="s">
        <v>4504</v>
      </c>
      <c r="G292" t="s">
        <v>74</v>
      </c>
      <c r="H292" t="s">
        <v>74</v>
      </c>
      <c r="I292" t="s">
        <v>4505</v>
      </c>
      <c r="J292" t="s">
        <v>613</v>
      </c>
      <c r="K292" t="s">
        <v>74</v>
      </c>
      <c r="L292" t="s">
        <v>74</v>
      </c>
      <c r="M292" t="s">
        <v>77</v>
      </c>
      <c r="N292" t="s">
        <v>78</v>
      </c>
      <c r="O292" t="s">
        <v>74</v>
      </c>
      <c r="P292" t="s">
        <v>74</v>
      </c>
      <c r="Q292" t="s">
        <v>74</v>
      </c>
      <c r="R292" t="s">
        <v>74</v>
      </c>
      <c r="S292" t="s">
        <v>74</v>
      </c>
      <c r="T292" t="s">
        <v>4506</v>
      </c>
      <c r="U292" t="s">
        <v>4507</v>
      </c>
      <c r="V292" t="s">
        <v>4508</v>
      </c>
      <c r="W292" t="s">
        <v>4509</v>
      </c>
      <c r="X292" t="s">
        <v>4510</v>
      </c>
      <c r="Y292" t="s">
        <v>4511</v>
      </c>
      <c r="Z292" t="s">
        <v>4512</v>
      </c>
      <c r="AA292" t="s">
        <v>4513</v>
      </c>
      <c r="AB292" t="s">
        <v>4514</v>
      </c>
      <c r="AC292" t="s">
        <v>74</v>
      </c>
      <c r="AD292" t="s">
        <v>74</v>
      </c>
      <c r="AE292" t="s">
        <v>74</v>
      </c>
      <c r="AF292" t="s">
        <v>74</v>
      </c>
      <c r="AG292">
        <v>78</v>
      </c>
      <c r="AH292">
        <v>26</v>
      </c>
      <c r="AI292">
        <v>30</v>
      </c>
      <c r="AJ292">
        <v>1</v>
      </c>
      <c r="AK292">
        <v>15</v>
      </c>
      <c r="AL292" t="s">
        <v>539</v>
      </c>
      <c r="AM292" t="s">
        <v>540</v>
      </c>
      <c r="AN292" t="s">
        <v>541</v>
      </c>
      <c r="AO292" t="s">
        <v>621</v>
      </c>
      <c r="AP292" t="s">
        <v>622</v>
      </c>
      <c r="AQ292" t="s">
        <v>74</v>
      </c>
      <c r="AR292" t="s">
        <v>613</v>
      </c>
      <c r="AS292" t="s">
        <v>623</v>
      </c>
      <c r="AT292" t="s">
        <v>4483</v>
      </c>
      <c r="AU292">
        <v>2003</v>
      </c>
      <c r="AV292">
        <v>18</v>
      </c>
      <c r="AW292">
        <v>3</v>
      </c>
      <c r="AX292" t="s">
        <v>74</v>
      </c>
      <c r="AY292" t="s">
        <v>74</v>
      </c>
      <c r="AZ292" t="s">
        <v>74</v>
      </c>
      <c r="BA292" t="s">
        <v>74</v>
      </c>
      <c r="BB292" t="s">
        <v>74</v>
      </c>
      <c r="BC292" t="s">
        <v>74</v>
      </c>
      <c r="BD292">
        <v>1057</v>
      </c>
      <c r="BE292" t="s">
        <v>4515</v>
      </c>
      <c r="BF292" t="str">
        <f>HYPERLINK("http://dx.doi.org/10.1029/2002PA000804","http://dx.doi.org/10.1029/2002PA000804")</f>
        <v>http://dx.doi.org/10.1029/2002PA000804</v>
      </c>
      <c r="BG292" t="s">
        <v>74</v>
      </c>
      <c r="BH292" t="s">
        <v>74</v>
      </c>
      <c r="BI292">
        <v>11</v>
      </c>
      <c r="BJ292" t="s">
        <v>625</v>
      </c>
      <c r="BK292" t="s">
        <v>94</v>
      </c>
      <c r="BL292" t="s">
        <v>626</v>
      </c>
      <c r="BM292" t="s">
        <v>4516</v>
      </c>
      <c r="BN292" t="s">
        <v>74</v>
      </c>
      <c r="BO292" t="s">
        <v>96</v>
      </c>
      <c r="BP292" t="s">
        <v>74</v>
      </c>
      <c r="BQ292" t="s">
        <v>74</v>
      </c>
      <c r="BR292" t="s">
        <v>97</v>
      </c>
      <c r="BS292" t="s">
        <v>4517</v>
      </c>
      <c r="BT292" t="str">
        <f>HYPERLINK("https%3A%2F%2Fwww.webofscience.com%2Fwos%2Fwoscc%2Ffull-record%2FWOS:000184426400003","View Full Record in Web of Science")</f>
        <v>View Full Record in Web of Science</v>
      </c>
    </row>
    <row r="293" spans="1:72" x14ac:dyDescent="0.15">
      <c r="A293" t="s">
        <v>72</v>
      </c>
      <c r="B293" t="s">
        <v>4518</v>
      </c>
      <c r="C293" t="s">
        <v>74</v>
      </c>
      <c r="D293" t="s">
        <v>74</v>
      </c>
      <c r="E293" t="s">
        <v>74</v>
      </c>
      <c r="F293" t="s">
        <v>4518</v>
      </c>
      <c r="G293" t="s">
        <v>74</v>
      </c>
      <c r="H293" t="s">
        <v>74</v>
      </c>
      <c r="I293" t="s">
        <v>4519</v>
      </c>
      <c r="J293" t="s">
        <v>613</v>
      </c>
      <c r="K293" t="s">
        <v>74</v>
      </c>
      <c r="L293" t="s">
        <v>74</v>
      </c>
      <c r="M293" t="s">
        <v>77</v>
      </c>
      <c r="N293" t="s">
        <v>556</v>
      </c>
      <c r="O293" t="s">
        <v>74</v>
      </c>
      <c r="P293" t="s">
        <v>74</v>
      </c>
      <c r="Q293" t="s">
        <v>74</v>
      </c>
      <c r="R293" t="s">
        <v>74</v>
      </c>
      <c r="S293" t="s">
        <v>74</v>
      </c>
      <c r="T293" t="s">
        <v>4520</v>
      </c>
      <c r="U293" t="s">
        <v>4521</v>
      </c>
      <c r="V293" t="s">
        <v>4522</v>
      </c>
      <c r="W293" t="s">
        <v>4523</v>
      </c>
      <c r="X293" t="s">
        <v>4524</v>
      </c>
      <c r="Y293" t="s">
        <v>4525</v>
      </c>
      <c r="Z293" t="s">
        <v>4526</v>
      </c>
      <c r="AA293" t="s">
        <v>74</v>
      </c>
      <c r="AB293" t="s">
        <v>74</v>
      </c>
      <c r="AC293" t="s">
        <v>74</v>
      </c>
      <c r="AD293" t="s">
        <v>74</v>
      </c>
      <c r="AE293" t="s">
        <v>74</v>
      </c>
      <c r="AF293" t="s">
        <v>74</v>
      </c>
      <c r="AG293">
        <v>109</v>
      </c>
      <c r="AH293">
        <v>92</v>
      </c>
      <c r="AI293">
        <v>98</v>
      </c>
      <c r="AJ293">
        <v>2</v>
      </c>
      <c r="AK293">
        <v>16</v>
      </c>
      <c r="AL293" t="s">
        <v>539</v>
      </c>
      <c r="AM293" t="s">
        <v>540</v>
      </c>
      <c r="AN293" t="s">
        <v>541</v>
      </c>
      <c r="AO293" t="s">
        <v>621</v>
      </c>
      <c r="AP293" t="s">
        <v>622</v>
      </c>
      <c r="AQ293" t="s">
        <v>74</v>
      </c>
      <c r="AR293" t="s">
        <v>613</v>
      </c>
      <c r="AS293" t="s">
        <v>623</v>
      </c>
      <c r="AT293" t="s">
        <v>4483</v>
      </c>
      <c r="AU293">
        <v>2003</v>
      </c>
      <c r="AV293">
        <v>18</v>
      </c>
      <c r="AW293">
        <v>3</v>
      </c>
      <c r="AX293" t="s">
        <v>74</v>
      </c>
      <c r="AY293" t="s">
        <v>74</v>
      </c>
      <c r="AZ293" t="s">
        <v>74</v>
      </c>
      <c r="BA293" t="s">
        <v>74</v>
      </c>
      <c r="BB293" t="s">
        <v>74</v>
      </c>
      <c r="BC293" t="s">
        <v>74</v>
      </c>
      <c r="BD293">
        <v>1058</v>
      </c>
      <c r="BE293" t="s">
        <v>4527</v>
      </c>
      <c r="BF293" t="str">
        <f>HYPERLINK("http://dx.doi.org/10.1029/2002PA000783","http://dx.doi.org/10.1029/2002PA000783")</f>
        <v>http://dx.doi.org/10.1029/2002PA000783</v>
      </c>
      <c r="BG293" t="s">
        <v>74</v>
      </c>
      <c r="BH293" t="s">
        <v>74</v>
      </c>
      <c r="BI293">
        <v>29</v>
      </c>
      <c r="BJ293" t="s">
        <v>625</v>
      </c>
      <c r="BK293" t="s">
        <v>94</v>
      </c>
      <c r="BL293" t="s">
        <v>626</v>
      </c>
      <c r="BM293" t="s">
        <v>4516</v>
      </c>
      <c r="BN293" t="s">
        <v>74</v>
      </c>
      <c r="BO293" t="s">
        <v>628</v>
      </c>
      <c r="BP293" t="s">
        <v>74</v>
      </c>
      <c r="BQ293" t="s">
        <v>74</v>
      </c>
      <c r="BR293" t="s">
        <v>97</v>
      </c>
      <c r="BS293" t="s">
        <v>4528</v>
      </c>
      <c r="BT293" t="str">
        <f>HYPERLINK("https%3A%2F%2Fwww.webofscience.com%2Fwos%2Fwoscc%2Ffull-record%2FWOS:000184426400002","View Full Record in Web of Science")</f>
        <v>View Full Record in Web of Science</v>
      </c>
    </row>
    <row r="294" spans="1:72" x14ac:dyDescent="0.15">
      <c r="A294" t="s">
        <v>72</v>
      </c>
      <c r="B294" t="s">
        <v>4529</v>
      </c>
      <c r="C294" t="s">
        <v>74</v>
      </c>
      <c r="D294" t="s">
        <v>74</v>
      </c>
      <c r="E294" t="s">
        <v>74</v>
      </c>
      <c r="F294" t="s">
        <v>4529</v>
      </c>
      <c r="G294" t="s">
        <v>74</v>
      </c>
      <c r="H294" t="s">
        <v>74</v>
      </c>
      <c r="I294" t="s">
        <v>4530</v>
      </c>
      <c r="J294" t="s">
        <v>4531</v>
      </c>
      <c r="K294" t="s">
        <v>74</v>
      </c>
      <c r="L294" t="s">
        <v>74</v>
      </c>
      <c r="M294" t="s">
        <v>77</v>
      </c>
      <c r="N294" t="s">
        <v>78</v>
      </c>
      <c r="O294" t="s">
        <v>74</v>
      </c>
      <c r="P294" t="s">
        <v>74</v>
      </c>
      <c r="Q294" t="s">
        <v>74</v>
      </c>
      <c r="R294" t="s">
        <v>74</v>
      </c>
      <c r="S294" t="s">
        <v>74</v>
      </c>
      <c r="T294" t="s">
        <v>74</v>
      </c>
      <c r="U294" t="s">
        <v>4532</v>
      </c>
      <c r="V294" t="s">
        <v>4533</v>
      </c>
      <c r="W294" t="s">
        <v>4534</v>
      </c>
      <c r="X294" t="s">
        <v>74</v>
      </c>
      <c r="Y294" t="s">
        <v>4535</v>
      </c>
      <c r="Z294" t="s">
        <v>4536</v>
      </c>
      <c r="AA294" t="s">
        <v>74</v>
      </c>
      <c r="AB294" t="s">
        <v>74</v>
      </c>
      <c r="AC294" t="s">
        <v>74</v>
      </c>
      <c r="AD294" t="s">
        <v>74</v>
      </c>
      <c r="AE294" t="s">
        <v>74</v>
      </c>
      <c r="AF294" t="s">
        <v>74</v>
      </c>
      <c r="AG294">
        <v>89</v>
      </c>
      <c r="AH294">
        <v>174</v>
      </c>
      <c r="AI294">
        <v>225</v>
      </c>
      <c r="AJ294">
        <v>0</v>
      </c>
      <c r="AK294">
        <v>56</v>
      </c>
      <c r="AL294" t="s">
        <v>4537</v>
      </c>
      <c r="AM294" t="s">
        <v>540</v>
      </c>
      <c r="AN294" t="s">
        <v>4538</v>
      </c>
      <c r="AO294" t="s">
        <v>4539</v>
      </c>
      <c r="AP294" t="s">
        <v>74</v>
      </c>
      <c r="AQ294" t="s">
        <v>74</v>
      </c>
      <c r="AR294" t="s">
        <v>4540</v>
      </c>
      <c r="AS294" t="s">
        <v>4541</v>
      </c>
      <c r="AT294" t="s">
        <v>4542</v>
      </c>
      <c r="AU294">
        <v>2003</v>
      </c>
      <c r="AV294">
        <v>100</v>
      </c>
      <c r="AW294">
        <v>14</v>
      </c>
      <c r="AX294" t="s">
        <v>74</v>
      </c>
      <c r="AY294" t="s">
        <v>74</v>
      </c>
      <c r="AZ294" t="s">
        <v>74</v>
      </c>
      <c r="BA294" t="s">
        <v>74</v>
      </c>
      <c r="BB294">
        <v>8062</v>
      </c>
      <c r="BC294">
        <v>8067</v>
      </c>
      <c r="BD294" t="s">
        <v>74</v>
      </c>
      <c r="BE294" t="s">
        <v>4543</v>
      </c>
      <c r="BF294" t="str">
        <f>HYPERLINK("http://dx.doi.org/10.1073/pnas.1231331100","http://dx.doi.org/10.1073/pnas.1231331100")</f>
        <v>http://dx.doi.org/10.1073/pnas.1231331100</v>
      </c>
      <c r="BG294" t="s">
        <v>74</v>
      </c>
      <c r="BH294" t="s">
        <v>74</v>
      </c>
      <c r="BI294">
        <v>6</v>
      </c>
      <c r="BJ294" t="s">
        <v>971</v>
      </c>
      <c r="BK294" t="s">
        <v>4544</v>
      </c>
      <c r="BL294" t="s">
        <v>972</v>
      </c>
      <c r="BM294" t="s">
        <v>4545</v>
      </c>
      <c r="BN294">
        <v>12829798</v>
      </c>
      <c r="BO294" t="s">
        <v>154</v>
      </c>
      <c r="BP294" t="s">
        <v>74</v>
      </c>
      <c r="BQ294" t="s">
        <v>74</v>
      </c>
      <c r="BR294" t="s">
        <v>97</v>
      </c>
      <c r="BS294" t="s">
        <v>4546</v>
      </c>
      <c r="BT294" t="str">
        <f>HYPERLINK("https%3A%2F%2Fwww.webofscience.com%2Fwos%2Fwoscc%2Ffull-record%2FWOS:000184222500007","View Full Record in Web of Science")</f>
        <v>View Full Record in Web of Science</v>
      </c>
    </row>
    <row r="295" spans="1:72" x14ac:dyDescent="0.15">
      <c r="A295" t="s">
        <v>72</v>
      </c>
      <c r="B295" t="s">
        <v>4547</v>
      </c>
      <c r="C295" t="s">
        <v>74</v>
      </c>
      <c r="D295" t="s">
        <v>74</v>
      </c>
      <c r="E295" t="s">
        <v>74</v>
      </c>
      <c r="F295" t="s">
        <v>4547</v>
      </c>
      <c r="G295" t="s">
        <v>74</v>
      </c>
      <c r="H295" t="s">
        <v>74</v>
      </c>
      <c r="I295" t="s">
        <v>4548</v>
      </c>
      <c r="J295" t="s">
        <v>578</v>
      </c>
      <c r="K295" t="s">
        <v>74</v>
      </c>
      <c r="L295" t="s">
        <v>74</v>
      </c>
      <c r="M295" t="s">
        <v>77</v>
      </c>
      <c r="N295" t="s">
        <v>78</v>
      </c>
      <c r="O295" t="s">
        <v>74</v>
      </c>
      <c r="P295" t="s">
        <v>74</v>
      </c>
      <c r="Q295" t="s">
        <v>74</v>
      </c>
      <c r="R295" t="s">
        <v>74</v>
      </c>
      <c r="S295" t="s">
        <v>74</v>
      </c>
      <c r="T295" t="s">
        <v>4549</v>
      </c>
      <c r="U295" t="s">
        <v>4550</v>
      </c>
      <c r="V295" t="s">
        <v>4551</v>
      </c>
      <c r="W295" t="s">
        <v>81</v>
      </c>
      <c r="X295" t="s">
        <v>82</v>
      </c>
      <c r="Y295" t="s">
        <v>4552</v>
      </c>
      <c r="Z295" t="s">
        <v>4553</v>
      </c>
      <c r="AA295" t="s">
        <v>74</v>
      </c>
      <c r="AB295" t="s">
        <v>74</v>
      </c>
      <c r="AC295" t="s">
        <v>74</v>
      </c>
      <c r="AD295" t="s">
        <v>74</v>
      </c>
      <c r="AE295" t="s">
        <v>74</v>
      </c>
      <c r="AF295" t="s">
        <v>74</v>
      </c>
      <c r="AG295">
        <v>21</v>
      </c>
      <c r="AH295">
        <v>8</v>
      </c>
      <c r="AI295">
        <v>10</v>
      </c>
      <c r="AJ295">
        <v>0</v>
      </c>
      <c r="AK295">
        <v>2</v>
      </c>
      <c r="AL295" t="s">
        <v>539</v>
      </c>
      <c r="AM295" t="s">
        <v>540</v>
      </c>
      <c r="AN295" t="s">
        <v>541</v>
      </c>
      <c r="AO295" t="s">
        <v>588</v>
      </c>
      <c r="AP295" t="s">
        <v>74</v>
      </c>
      <c r="AQ295" t="s">
        <v>74</v>
      </c>
      <c r="AR295" t="s">
        <v>589</v>
      </c>
      <c r="AS295" t="s">
        <v>590</v>
      </c>
      <c r="AT295" t="s">
        <v>4554</v>
      </c>
      <c r="AU295">
        <v>2003</v>
      </c>
      <c r="AV295">
        <v>108</v>
      </c>
      <c r="AW295" t="s">
        <v>4555</v>
      </c>
      <c r="AX295" t="s">
        <v>74</v>
      </c>
      <c r="AY295" t="s">
        <v>74</v>
      </c>
      <c r="AZ295" t="s">
        <v>74</v>
      </c>
      <c r="BA295" t="s">
        <v>74</v>
      </c>
      <c r="BB295" t="s">
        <v>74</v>
      </c>
      <c r="BC295" t="s">
        <v>74</v>
      </c>
      <c r="BD295">
        <v>4375</v>
      </c>
      <c r="BE295" t="s">
        <v>4556</v>
      </c>
      <c r="BF295" t="str">
        <f>HYPERLINK("http://dx.doi.org/10.1029/2002JD002702","http://dx.doi.org/10.1029/2002JD002702")</f>
        <v>http://dx.doi.org/10.1029/2002JD002702</v>
      </c>
      <c r="BG295" t="s">
        <v>74</v>
      </c>
      <c r="BH295" t="s">
        <v>74</v>
      </c>
      <c r="BI295">
        <v>8</v>
      </c>
      <c r="BJ295" t="s">
        <v>93</v>
      </c>
      <c r="BK295" t="s">
        <v>94</v>
      </c>
      <c r="BL295" t="s">
        <v>93</v>
      </c>
      <c r="BM295" t="s">
        <v>4557</v>
      </c>
      <c r="BN295" t="s">
        <v>74</v>
      </c>
      <c r="BO295" t="s">
        <v>74</v>
      </c>
      <c r="BP295" t="s">
        <v>74</v>
      </c>
      <c r="BQ295" t="s">
        <v>74</v>
      </c>
      <c r="BR295" t="s">
        <v>97</v>
      </c>
      <c r="BS295" t="s">
        <v>4558</v>
      </c>
      <c r="BT295" t="str">
        <f>HYPERLINK("https%3A%2F%2Fwww.webofscience.com%2Fwos%2Fwoscc%2Ffull-record%2FWOS:000184003100002","View Full Record in Web of Science")</f>
        <v>View Full Record in Web of Science</v>
      </c>
    </row>
    <row r="296" spans="1:72" x14ac:dyDescent="0.15">
      <c r="A296" t="s">
        <v>72</v>
      </c>
      <c r="B296" t="s">
        <v>4559</v>
      </c>
      <c r="C296" t="s">
        <v>74</v>
      </c>
      <c r="D296" t="s">
        <v>74</v>
      </c>
      <c r="E296" t="s">
        <v>74</v>
      </c>
      <c r="F296" t="s">
        <v>4559</v>
      </c>
      <c r="G296" t="s">
        <v>74</v>
      </c>
      <c r="H296" t="s">
        <v>74</v>
      </c>
      <c r="I296" t="s">
        <v>4560</v>
      </c>
      <c r="J296" t="s">
        <v>665</v>
      </c>
      <c r="K296" t="s">
        <v>74</v>
      </c>
      <c r="L296" t="s">
        <v>74</v>
      </c>
      <c r="M296" t="s">
        <v>77</v>
      </c>
      <c r="N296" t="s">
        <v>556</v>
      </c>
      <c r="O296" t="s">
        <v>74</v>
      </c>
      <c r="P296" t="s">
        <v>74</v>
      </c>
      <c r="Q296" t="s">
        <v>74</v>
      </c>
      <c r="R296" t="s">
        <v>74</v>
      </c>
      <c r="S296" t="s">
        <v>74</v>
      </c>
      <c r="T296" t="s">
        <v>4561</v>
      </c>
      <c r="U296" t="s">
        <v>4562</v>
      </c>
      <c r="V296" t="s">
        <v>4563</v>
      </c>
      <c r="W296" t="s">
        <v>4564</v>
      </c>
      <c r="X296" t="s">
        <v>4565</v>
      </c>
      <c r="Y296" t="s">
        <v>4566</v>
      </c>
      <c r="Z296" t="s">
        <v>4567</v>
      </c>
      <c r="AA296" t="s">
        <v>4568</v>
      </c>
      <c r="AB296" t="s">
        <v>4569</v>
      </c>
      <c r="AC296" t="s">
        <v>74</v>
      </c>
      <c r="AD296" t="s">
        <v>74</v>
      </c>
      <c r="AE296" t="s">
        <v>74</v>
      </c>
      <c r="AF296" t="s">
        <v>74</v>
      </c>
      <c r="AG296">
        <v>124</v>
      </c>
      <c r="AH296">
        <v>155</v>
      </c>
      <c r="AI296">
        <v>165</v>
      </c>
      <c r="AJ296">
        <v>1</v>
      </c>
      <c r="AK296">
        <v>47</v>
      </c>
      <c r="AL296" t="s">
        <v>539</v>
      </c>
      <c r="AM296" t="s">
        <v>540</v>
      </c>
      <c r="AN296" t="s">
        <v>541</v>
      </c>
      <c r="AO296" t="s">
        <v>672</v>
      </c>
      <c r="AP296" t="s">
        <v>673</v>
      </c>
      <c r="AQ296" t="s">
        <v>74</v>
      </c>
      <c r="AR296" t="s">
        <v>674</v>
      </c>
      <c r="AS296" t="s">
        <v>675</v>
      </c>
      <c r="AT296" t="s">
        <v>4554</v>
      </c>
      <c r="AU296">
        <v>2003</v>
      </c>
      <c r="AV296">
        <v>108</v>
      </c>
      <c r="AW296" t="s">
        <v>4238</v>
      </c>
      <c r="AX296" t="s">
        <v>74</v>
      </c>
      <c r="AY296" t="s">
        <v>74</v>
      </c>
      <c r="AZ296" t="s">
        <v>74</v>
      </c>
      <c r="BA296" t="s">
        <v>74</v>
      </c>
      <c r="BB296" t="s">
        <v>74</v>
      </c>
      <c r="BC296" t="s">
        <v>74</v>
      </c>
      <c r="BD296">
        <v>3213</v>
      </c>
      <c r="BE296" t="s">
        <v>4570</v>
      </c>
      <c r="BF296" t="str">
        <f>HYPERLINK("http://dx.doi.org/10.1029/2002JC001565","http://dx.doi.org/10.1029/2002JC001565")</f>
        <v>http://dx.doi.org/10.1029/2002JC001565</v>
      </c>
      <c r="BG296" t="s">
        <v>74</v>
      </c>
      <c r="BH296" t="s">
        <v>74</v>
      </c>
      <c r="BI296">
        <v>24</v>
      </c>
      <c r="BJ296" t="s">
        <v>678</v>
      </c>
      <c r="BK296" t="s">
        <v>94</v>
      </c>
      <c r="BL296" t="s">
        <v>678</v>
      </c>
      <c r="BM296" t="s">
        <v>4571</v>
      </c>
      <c r="BN296" t="s">
        <v>74</v>
      </c>
      <c r="BO296" t="s">
        <v>74</v>
      </c>
      <c r="BP296" t="s">
        <v>74</v>
      </c>
      <c r="BQ296" t="s">
        <v>74</v>
      </c>
      <c r="BR296" t="s">
        <v>97</v>
      </c>
      <c r="BS296" t="s">
        <v>4572</v>
      </c>
      <c r="BT296" t="str">
        <f>HYPERLINK("https%3A%2F%2Fwww.webofscience.com%2Fwos%2Fwoscc%2Ffull-record%2FWOS:000184004400004","View Full Record in Web of Science")</f>
        <v>View Full Record in Web of Science</v>
      </c>
    </row>
    <row r="297" spans="1:72" x14ac:dyDescent="0.15">
      <c r="A297" t="s">
        <v>72</v>
      </c>
      <c r="B297" t="s">
        <v>4573</v>
      </c>
      <c r="C297" t="s">
        <v>74</v>
      </c>
      <c r="D297" t="s">
        <v>74</v>
      </c>
      <c r="E297" t="s">
        <v>74</v>
      </c>
      <c r="F297" t="s">
        <v>4573</v>
      </c>
      <c r="G297" t="s">
        <v>74</v>
      </c>
      <c r="H297" t="s">
        <v>74</v>
      </c>
      <c r="I297" t="s">
        <v>4574</v>
      </c>
      <c r="J297" t="s">
        <v>665</v>
      </c>
      <c r="K297" t="s">
        <v>74</v>
      </c>
      <c r="L297" t="s">
        <v>74</v>
      </c>
      <c r="M297" t="s">
        <v>77</v>
      </c>
      <c r="N297" t="s">
        <v>78</v>
      </c>
      <c r="O297" t="s">
        <v>74</v>
      </c>
      <c r="P297" t="s">
        <v>74</v>
      </c>
      <c r="Q297" t="s">
        <v>74</v>
      </c>
      <c r="R297" t="s">
        <v>74</v>
      </c>
      <c r="S297" t="s">
        <v>74</v>
      </c>
      <c r="T297" t="s">
        <v>4575</v>
      </c>
      <c r="U297" t="s">
        <v>4576</v>
      </c>
      <c r="V297" t="s">
        <v>4577</v>
      </c>
      <c r="W297" t="s">
        <v>4578</v>
      </c>
      <c r="X297" t="s">
        <v>4579</v>
      </c>
      <c r="Y297" t="s">
        <v>4580</v>
      </c>
      <c r="Z297" t="s">
        <v>4581</v>
      </c>
      <c r="AA297" t="s">
        <v>4582</v>
      </c>
      <c r="AB297" t="s">
        <v>4583</v>
      </c>
      <c r="AC297" t="s">
        <v>74</v>
      </c>
      <c r="AD297" t="s">
        <v>74</v>
      </c>
      <c r="AE297" t="s">
        <v>74</v>
      </c>
      <c r="AF297" t="s">
        <v>74</v>
      </c>
      <c r="AG297">
        <v>44</v>
      </c>
      <c r="AH297">
        <v>15</v>
      </c>
      <c r="AI297">
        <v>16</v>
      </c>
      <c r="AJ297">
        <v>0</v>
      </c>
      <c r="AK297">
        <v>7</v>
      </c>
      <c r="AL297" t="s">
        <v>539</v>
      </c>
      <c r="AM297" t="s">
        <v>540</v>
      </c>
      <c r="AN297" t="s">
        <v>541</v>
      </c>
      <c r="AO297" t="s">
        <v>672</v>
      </c>
      <c r="AP297" t="s">
        <v>673</v>
      </c>
      <c r="AQ297" t="s">
        <v>74</v>
      </c>
      <c r="AR297" t="s">
        <v>674</v>
      </c>
      <c r="AS297" t="s">
        <v>675</v>
      </c>
      <c r="AT297" t="s">
        <v>4554</v>
      </c>
      <c r="AU297">
        <v>2003</v>
      </c>
      <c r="AV297">
        <v>108</v>
      </c>
      <c r="AW297" t="s">
        <v>4238</v>
      </c>
      <c r="AX297" t="s">
        <v>74</v>
      </c>
      <c r="AY297" t="s">
        <v>74</v>
      </c>
      <c r="AZ297" t="s">
        <v>74</v>
      </c>
      <c r="BA297" t="s">
        <v>74</v>
      </c>
      <c r="BB297" t="s">
        <v>74</v>
      </c>
      <c r="BC297" t="s">
        <v>74</v>
      </c>
      <c r="BD297">
        <v>3212</v>
      </c>
      <c r="BE297" t="s">
        <v>4584</v>
      </c>
      <c r="BF297" t="str">
        <f>HYPERLINK("http://dx.doi.org/10.1029/2002JC001354","http://dx.doi.org/10.1029/2002JC001354")</f>
        <v>http://dx.doi.org/10.1029/2002JC001354</v>
      </c>
      <c r="BG297" t="s">
        <v>74</v>
      </c>
      <c r="BH297" t="s">
        <v>74</v>
      </c>
      <c r="BI297">
        <v>15</v>
      </c>
      <c r="BJ297" t="s">
        <v>678</v>
      </c>
      <c r="BK297" t="s">
        <v>94</v>
      </c>
      <c r="BL297" t="s">
        <v>678</v>
      </c>
      <c r="BM297" t="s">
        <v>4571</v>
      </c>
      <c r="BN297" t="s">
        <v>74</v>
      </c>
      <c r="BO297" t="s">
        <v>4585</v>
      </c>
      <c r="BP297" t="s">
        <v>74</v>
      </c>
      <c r="BQ297" t="s">
        <v>74</v>
      </c>
      <c r="BR297" t="s">
        <v>97</v>
      </c>
      <c r="BS297" t="s">
        <v>4586</v>
      </c>
      <c r="BT297" t="str">
        <f>HYPERLINK("https%3A%2F%2Fwww.webofscience.com%2Fwos%2Fwoscc%2Ffull-record%2FWOS:000184004400003","View Full Record in Web of Science")</f>
        <v>View Full Record in Web of Science</v>
      </c>
    </row>
    <row r="298" spans="1:72" x14ac:dyDescent="0.15">
      <c r="A298" t="s">
        <v>72</v>
      </c>
      <c r="B298" t="s">
        <v>4587</v>
      </c>
      <c r="C298" t="s">
        <v>74</v>
      </c>
      <c r="D298" t="s">
        <v>74</v>
      </c>
      <c r="E298" t="s">
        <v>74</v>
      </c>
      <c r="F298" t="s">
        <v>4587</v>
      </c>
      <c r="G298" t="s">
        <v>74</v>
      </c>
      <c r="H298" t="s">
        <v>74</v>
      </c>
      <c r="I298" t="s">
        <v>4588</v>
      </c>
      <c r="J298" t="s">
        <v>4589</v>
      </c>
      <c r="K298" t="s">
        <v>74</v>
      </c>
      <c r="L298" t="s">
        <v>74</v>
      </c>
      <c r="M298" t="s">
        <v>77</v>
      </c>
      <c r="N298" t="s">
        <v>78</v>
      </c>
      <c r="O298" t="s">
        <v>74</v>
      </c>
      <c r="P298" t="s">
        <v>74</v>
      </c>
      <c r="Q298" t="s">
        <v>74</v>
      </c>
      <c r="R298" t="s">
        <v>74</v>
      </c>
      <c r="S298" t="s">
        <v>74</v>
      </c>
      <c r="T298" t="s">
        <v>74</v>
      </c>
      <c r="U298" t="s">
        <v>4590</v>
      </c>
      <c r="V298" t="s">
        <v>4591</v>
      </c>
      <c r="W298" t="s">
        <v>4592</v>
      </c>
      <c r="X298" t="s">
        <v>4593</v>
      </c>
      <c r="Y298" t="s">
        <v>4594</v>
      </c>
      <c r="Z298" t="s">
        <v>4595</v>
      </c>
      <c r="AA298" t="s">
        <v>4596</v>
      </c>
      <c r="AB298" t="s">
        <v>4597</v>
      </c>
      <c r="AC298" t="s">
        <v>74</v>
      </c>
      <c r="AD298" t="s">
        <v>74</v>
      </c>
      <c r="AE298" t="s">
        <v>74</v>
      </c>
      <c r="AF298" t="s">
        <v>74</v>
      </c>
      <c r="AG298">
        <v>12</v>
      </c>
      <c r="AH298">
        <v>21</v>
      </c>
      <c r="AI298">
        <v>24</v>
      </c>
      <c r="AJ298">
        <v>0</v>
      </c>
      <c r="AK298">
        <v>15</v>
      </c>
      <c r="AL298" t="s">
        <v>4598</v>
      </c>
      <c r="AM298" t="s">
        <v>4599</v>
      </c>
      <c r="AN298" t="s">
        <v>4600</v>
      </c>
      <c r="AO298" t="s">
        <v>4601</v>
      </c>
      <c r="AP298" t="s">
        <v>74</v>
      </c>
      <c r="AQ298" t="s">
        <v>74</v>
      </c>
      <c r="AR298" t="s">
        <v>4602</v>
      </c>
      <c r="AS298" t="s">
        <v>4603</v>
      </c>
      <c r="AT298" t="s">
        <v>4604</v>
      </c>
      <c r="AU298">
        <v>2003</v>
      </c>
      <c r="AV298">
        <v>59</v>
      </c>
      <c r="AW298" t="s">
        <v>74</v>
      </c>
      <c r="AX298">
        <v>7</v>
      </c>
      <c r="AY298" t="s">
        <v>74</v>
      </c>
      <c r="AZ298" t="s">
        <v>74</v>
      </c>
      <c r="BA298" t="s">
        <v>74</v>
      </c>
      <c r="BB298">
        <v>1256</v>
      </c>
      <c r="BC298">
        <v>1258</v>
      </c>
      <c r="BD298" t="s">
        <v>74</v>
      </c>
      <c r="BE298" t="s">
        <v>4605</v>
      </c>
      <c r="BF298" t="str">
        <f>HYPERLINK("http://dx.doi.org/10.1107/S0907444903008849","http://dx.doi.org/10.1107/S0907444903008849")</f>
        <v>http://dx.doi.org/10.1107/S0907444903008849</v>
      </c>
      <c r="BG298" t="s">
        <v>74</v>
      </c>
      <c r="BH298" t="s">
        <v>74</v>
      </c>
      <c r="BI298">
        <v>3</v>
      </c>
      <c r="BJ298" t="s">
        <v>4606</v>
      </c>
      <c r="BK298" t="s">
        <v>94</v>
      </c>
      <c r="BL298" t="s">
        <v>4607</v>
      </c>
      <c r="BM298" t="s">
        <v>4608</v>
      </c>
      <c r="BN298">
        <v>12832777</v>
      </c>
      <c r="BO298" t="s">
        <v>74</v>
      </c>
      <c r="BP298" t="s">
        <v>74</v>
      </c>
      <c r="BQ298" t="s">
        <v>74</v>
      </c>
      <c r="BR298" t="s">
        <v>97</v>
      </c>
      <c r="BS298" t="s">
        <v>4609</v>
      </c>
      <c r="BT298" t="str">
        <f>HYPERLINK("https%3A%2F%2Fwww.webofscience.com%2Fwos%2Fwoscc%2Ffull-record%2FWOS:000183809900025","View Full Record in Web of Science")</f>
        <v>View Full Record in Web of Science</v>
      </c>
    </row>
    <row r="299" spans="1:72" x14ac:dyDescent="0.15">
      <c r="A299" t="s">
        <v>72</v>
      </c>
      <c r="B299" t="s">
        <v>4610</v>
      </c>
      <c r="C299" t="s">
        <v>74</v>
      </c>
      <c r="D299" t="s">
        <v>74</v>
      </c>
      <c r="E299" t="s">
        <v>74</v>
      </c>
      <c r="F299" t="s">
        <v>4610</v>
      </c>
      <c r="G299" t="s">
        <v>74</v>
      </c>
      <c r="H299" t="s">
        <v>74</v>
      </c>
      <c r="I299" t="s">
        <v>4611</v>
      </c>
      <c r="J299" t="s">
        <v>3105</v>
      </c>
      <c r="K299" t="s">
        <v>74</v>
      </c>
      <c r="L299" t="s">
        <v>74</v>
      </c>
      <c r="M299" t="s">
        <v>77</v>
      </c>
      <c r="N299" t="s">
        <v>78</v>
      </c>
      <c r="O299" t="s">
        <v>74</v>
      </c>
      <c r="P299" t="s">
        <v>74</v>
      </c>
      <c r="Q299" t="s">
        <v>74</v>
      </c>
      <c r="R299" t="s">
        <v>74</v>
      </c>
      <c r="S299" t="s">
        <v>74</v>
      </c>
      <c r="T299" t="s">
        <v>4612</v>
      </c>
      <c r="U299" t="s">
        <v>4613</v>
      </c>
      <c r="V299" t="s">
        <v>4614</v>
      </c>
      <c r="W299" t="s">
        <v>4615</v>
      </c>
      <c r="X299" t="s">
        <v>4616</v>
      </c>
      <c r="Y299" t="s">
        <v>4617</v>
      </c>
      <c r="Z299" t="s">
        <v>4618</v>
      </c>
      <c r="AA299" t="s">
        <v>4619</v>
      </c>
      <c r="AB299" t="s">
        <v>4620</v>
      </c>
      <c r="AC299" t="s">
        <v>74</v>
      </c>
      <c r="AD299" t="s">
        <v>74</v>
      </c>
      <c r="AE299" t="s">
        <v>74</v>
      </c>
      <c r="AF299" t="s">
        <v>74</v>
      </c>
      <c r="AG299">
        <v>65</v>
      </c>
      <c r="AH299">
        <v>39</v>
      </c>
      <c r="AI299">
        <v>41</v>
      </c>
      <c r="AJ299">
        <v>0</v>
      </c>
      <c r="AK299">
        <v>5</v>
      </c>
      <c r="AL299" t="s">
        <v>3115</v>
      </c>
      <c r="AM299" t="s">
        <v>3116</v>
      </c>
      <c r="AN299" t="s">
        <v>3117</v>
      </c>
      <c r="AO299" t="s">
        <v>3118</v>
      </c>
      <c r="AP299" t="s">
        <v>74</v>
      </c>
      <c r="AQ299" t="s">
        <v>74</v>
      </c>
      <c r="AR299" t="s">
        <v>3119</v>
      </c>
      <c r="AS299" t="s">
        <v>3120</v>
      </c>
      <c r="AT299" t="s">
        <v>4604</v>
      </c>
      <c r="AU299">
        <v>2003</v>
      </c>
      <c r="AV299">
        <v>21</v>
      </c>
      <c r="AW299">
        <v>7</v>
      </c>
      <c r="AX299" t="s">
        <v>74</v>
      </c>
      <c r="AY299" t="s">
        <v>74</v>
      </c>
      <c r="AZ299" t="s">
        <v>74</v>
      </c>
      <c r="BA299" t="s">
        <v>74</v>
      </c>
      <c r="BB299">
        <v>1467</v>
      </c>
      <c r="BC299">
        <v>1482</v>
      </c>
      <c r="BD299" t="s">
        <v>74</v>
      </c>
      <c r="BE299" t="s">
        <v>4621</v>
      </c>
      <c r="BF299" t="str">
        <f>HYPERLINK("http://dx.doi.org/10.5194/angeo-21-1467-2003","http://dx.doi.org/10.5194/angeo-21-1467-2003")</f>
        <v>http://dx.doi.org/10.5194/angeo-21-1467-2003</v>
      </c>
      <c r="BG299" t="s">
        <v>74</v>
      </c>
      <c r="BH299" t="s">
        <v>74</v>
      </c>
      <c r="BI299">
        <v>16</v>
      </c>
      <c r="BJ299" t="s">
        <v>3123</v>
      </c>
      <c r="BK299" t="s">
        <v>94</v>
      </c>
      <c r="BL299" t="s">
        <v>3124</v>
      </c>
      <c r="BM299" t="s">
        <v>4622</v>
      </c>
      <c r="BN299" t="s">
        <v>74</v>
      </c>
      <c r="BO299" t="s">
        <v>4623</v>
      </c>
      <c r="BP299" t="s">
        <v>74</v>
      </c>
      <c r="BQ299" t="s">
        <v>74</v>
      </c>
      <c r="BR299" t="s">
        <v>97</v>
      </c>
      <c r="BS299" t="s">
        <v>4624</v>
      </c>
      <c r="BT299" t="str">
        <f>HYPERLINK("https%3A%2F%2Fwww.webofscience.com%2Fwos%2Fwoscc%2Ffull-record%2FWOS:000189046900006","View Full Record in Web of Science")</f>
        <v>View Full Record in Web of Science</v>
      </c>
    </row>
    <row r="300" spans="1:72" x14ac:dyDescent="0.15">
      <c r="A300" t="s">
        <v>72</v>
      </c>
      <c r="B300" t="s">
        <v>4625</v>
      </c>
      <c r="C300" t="s">
        <v>74</v>
      </c>
      <c r="D300" t="s">
        <v>74</v>
      </c>
      <c r="E300" t="s">
        <v>74</v>
      </c>
      <c r="F300" t="s">
        <v>4625</v>
      </c>
      <c r="G300" t="s">
        <v>74</v>
      </c>
      <c r="H300" t="s">
        <v>74</v>
      </c>
      <c r="I300" t="s">
        <v>4626</v>
      </c>
      <c r="J300" t="s">
        <v>1254</v>
      </c>
      <c r="K300" t="s">
        <v>74</v>
      </c>
      <c r="L300" t="s">
        <v>74</v>
      </c>
      <c r="M300" t="s">
        <v>77</v>
      </c>
      <c r="N300" t="s">
        <v>78</v>
      </c>
      <c r="O300" t="s">
        <v>74</v>
      </c>
      <c r="P300" t="s">
        <v>74</v>
      </c>
      <c r="Q300" t="s">
        <v>74</v>
      </c>
      <c r="R300" t="s">
        <v>74</v>
      </c>
      <c r="S300" t="s">
        <v>74</v>
      </c>
      <c r="T300" t="s">
        <v>74</v>
      </c>
      <c r="U300" t="s">
        <v>4627</v>
      </c>
      <c r="V300" t="s">
        <v>4628</v>
      </c>
      <c r="W300" t="s">
        <v>4629</v>
      </c>
      <c r="X300" t="s">
        <v>4630</v>
      </c>
      <c r="Y300" t="s">
        <v>4631</v>
      </c>
      <c r="Z300" t="s">
        <v>74</v>
      </c>
      <c r="AA300" t="s">
        <v>74</v>
      </c>
      <c r="AB300" t="s">
        <v>4632</v>
      </c>
      <c r="AC300" t="s">
        <v>74</v>
      </c>
      <c r="AD300" t="s">
        <v>74</v>
      </c>
      <c r="AE300" t="s">
        <v>74</v>
      </c>
      <c r="AF300" t="s">
        <v>74</v>
      </c>
      <c r="AG300">
        <v>50</v>
      </c>
      <c r="AH300">
        <v>86</v>
      </c>
      <c r="AI300">
        <v>95</v>
      </c>
      <c r="AJ300">
        <v>0</v>
      </c>
      <c r="AK300">
        <v>17</v>
      </c>
      <c r="AL300" t="s">
        <v>1263</v>
      </c>
      <c r="AM300" t="s">
        <v>540</v>
      </c>
      <c r="AN300" t="s">
        <v>1264</v>
      </c>
      <c r="AO300" t="s">
        <v>1265</v>
      </c>
      <c r="AP300" t="s">
        <v>74</v>
      </c>
      <c r="AQ300" t="s">
        <v>74</v>
      </c>
      <c r="AR300" t="s">
        <v>1267</v>
      </c>
      <c r="AS300" t="s">
        <v>1268</v>
      </c>
      <c r="AT300" t="s">
        <v>4604</v>
      </c>
      <c r="AU300">
        <v>2003</v>
      </c>
      <c r="AV300">
        <v>69</v>
      </c>
      <c r="AW300">
        <v>7</v>
      </c>
      <c r="AX300" t="s">
        <v>74</v>
      </c>
      <c r="AY300" t="s">
        <v>74</v>
      </c>
      <c r="AZ300" t="s">
        <v>74</v>
      </c>
      <c r="BA300" t="s">
        <v>74</v>
      </c>
      <c r="BB300">
        <v>4067</v>
      </c>
      <c r="BC300">
        <v>4075</v>
      </c>
      <c r="BD300" t="s">
        <v>74</v>
      </c>
      <c r="BE300" t="s">
        <v>4633</v>
      </c>
      <c r="BF300" t="str">
        <f>HYPERLINK("http://dx.doi.org/10.1128/AEM.69.7.4067-4075.2003","http://dx.doi.org/10.1128/AEM.69.7.4067-4075.2003")</f>
        <v>http://dx.doi.org/10.1128/AEM.69.7.4067-4075.2003</v>
      </c>
      <c r="BG300" t="s">
        <v>74</v>
      </c>
      <c r="BH300" t="s">
        <v>74</v>
      </c>
      <c r="BI300">
        <v>9</v>
      </c>
      <c r="BJ300" t="s">
        <v>1270</v>
      </c>
      <c r="BK300" t="s">
        <v>94</v>
      </c>
      <c r="BL300" t="s">
        <v>1270</v>
      </c>
      <c r="BM300" t="s">
        <v>4634</v>
      </c>
      <c r="BN300">
        <v>12839783</v>
      </c>
      <c r="BO300" t="s">
        <v>154</v>
      </c>
      <c r="BP300" t="s">
        <v>74</v>
      </c>
      <c r="BQ300" t="s">
        <v>74</v>
      </c>
      <c r="BR300" t="s">
        <v>97</v>
      </c>
      <c r="BS300" t="s">
        <v>4635</v>
      </c>
      <c r="BT300" t="str">
        <f>HYPERLINK("https%3A%2F%2Fwww.webofscience.com%2Fwos%2Fwoscc%2Ffull-record%2FWOS:000184082100051","View Full Record in Web of Science")</f>
        <v>View Full Record in Web of Science</v>
      </c>
    </row>
    <row r="301" spans="1:72" x14ac:dyDescent="0.15">
      <c r="A301" t="s">
        <v>72</v>
      </c>
      <c r="B301" t="s">
        <v>4636</v>
      </c>
      <c r="C301" t="s">
        <v>74</v>
      </c>
      <c r="D301" t="s">
        <v>74</v>
      </c>
      <c r="E301" t="s">
        <v>74</v>
      </c>
      <c r="F301" t="s">
        <v>4636</v>
      </c>
      <c r="G301" t="s">
        <v>74</v>
      </c>
      <c r="H301" t="s">
        <v>74</v>
      </c>
      <c r="I301" t="s">
        <v>4637</v>
      </c>
      <c r="J301" t="s">
        <v>4638</v>
      </c>
      <c r="K301" t="s">
        <v>74</v>
      </c>
      <c r="L301" t="s">
        <v>74</v>
      </c>
      <c r="M301" t="s">
        <v>77</v>
      </c>
      <c r="N301" t="s">
        <v>159</v>
      </c>
      <c r="O301" t="s">
        <v>4639</v>
      </c>
      <c r="P301" t="s">
        <v>4640</v>
      </c>
      <c r="Q301" t="s">
        <v>4641</v>
      </c>
      <c r="R301" t="s">
        <v>74</v>
      </c>
      <c r="S301" t="s">
        <v>74</v>
      </c>
      <c r="T301" t="s">
        <v>4642</v>
      </c>
      <c r="U301" t="s">
        <v>4643</v>
      </c>
      <c r="V301" t="s">
        <v>4644</v>
      </c>
      <c r="W301" t="s">
        <v>4645</v>
      </c>
      <c r="X301" t="s">
        <v>4646</v>
      </c>
      <c r="Y301" t="s">
        <v>4647</v>
      </c>
      <c r="Z301" t="s">
        <v>74</v>
      </c>
      <c r="AA301" t="s">
        <v>4648</v>
      </c>
      <c r="AB301" t="s">
        <v>4649</v>
      </c>
      <c r="AC301" t="s">
        <v>74</v>
      </c>
      <c r="AD301" t="s">
        <v>74</v>
      </c>
      <c r="AE301" t="s">
        <v>74</v>
      </c>
      <c r="AF301" t="s">
        <v>74</v>
      </c>
      <c r="AG301">
        <v>35</v>
      </c>
      <c r="AH301">
        <v>85</v>
      </c>
      <c r="AI301">
        <v>97</v>
      </c>
      <c r="AJ301">
        <v>0</v>
      </c>
      <c r="AK301">
        <v>13</v>
      </c>
      <c r="AL301" t="s">
        <v>4650</v>
      </c>
      <c r="AM301" t="s">
        <v>4651</v>
      </c>
      <c r="AN301" t="s">
        <v>4652</v>
      </c>
      <c r="AO301" t="s">
        <v>4653</v>
      </c>
      <c r="AP301" t="s">
        <v>74</v>
      </c>
      <c r="AQ301" t="s">
        <v>74</v>
      </c>
      <c r="AR301" t="s">
        <v>4654</v>
      </c>
      <c r="AS301" t="s">
        <v>4655</v>
      </c>
      <c r="AT301" t="s">
        <v>4604</v>
      </c>
      <c r="AU301">
        <v>2003</v>
      </c>
      <c r="AV301">
        <v>16</v>
      </c>
      <c r="AW301">
        <v>3</v>
      </c>
      <c r="AX301" t="s">
        <v>74</v>
      </c>
      <c r="AY301" t="s">
        <v>74</v>
      </c>
      <c r="AZ301" t="s">
        <v>74</v>
      </c>
      <c r="BA301" t="s">
        <v>74</v>
      </c>
      <c r="BB301">
        <v>205</v>
      </c>
      <c r="BC301">
        <v>213</v>
      </c>
      <c r="BD301" t="s">
        <v>74</v>
      </c>
      <c r="BE301" t="s">
        <v>4656</v>
      </c>
      <c r="BF301" t="str">
        <f>HYPERLINK("http://dx.doi.org/10.1016/S0990-7440(03)00019-6","http://dx.doi.org/10.1016/S0990-7440(03)00019-6")</f>
        <v>http://dx.doi.org/10.1016/S0990-7440(03)00019-6</v>
      </c>
      <c r="BG301" t="s">
        <v>74</v>
      </c>
      <c r="BH301" t="s">
        <v>74</v>
      </c>
      <c r="BI301">
        <v>9</v>
      </c>
      <c r="BJ301" t="s">
        <v>4657</v>
      </c>
      <c r="BK301" t="s">
        <v>854</v>
      </c>
      <c r="BL301" t="s">
        <v>4657</v>
      </c>
      <c r="BM301" t="s">
        <v>4658</v>
      </c>
      <c r="BN301" t="s">
        <v>74</v>
      </c>
      <c r="BO301" t="s">
        <v>74</v>
      </c>
      <c r="BP301" t="s">
        <v>74</v>
      </c>
      <c r="BQ301" t="s">
        <v>74</v>
      </c>
      <c r="BR301" t="s">
        <v>97</v>
      </c>
      <c r="BS301" t="s">
        <v>4659</v>
      </c>
      <c r="BT301" t="str">
        <f>HYPERLINK("https%3A%2F%2Fwww.webofscience.com%2Fwos%2Fwoscc%2Ffull-record%2FWOS:000185139400014","View Full Record in Web of Science")</f>
        <v>View Full Record in Web of Science</v>
      </c>
    </row>
    <row r="302" spans="1:72" x14ac:dyDescent="0.15">
      <c r="A302" t="s">
        <v>72</v>
      </c>
      <c r="B302" t="s">
        <v>4660</v>
      </c>
      <c r="C302" t="s">
        <v>74</v>
      </c>
      <c r="D302" t="s">
        <v>74</v>
      </c>
      <c r="E302" t="s">
        <v>74</v>
      </c>
      <c r="F302" t="s">
        <v>4660</v>
      </c>
      <c r="G302" t="s">
        <v>74</v>
      </c>
      <c r="H302" t="s">
        <v>74</v>
      </c>
      <c r="I302" t="s">
        <v>4661</v>
      </c>
      <c r="J302" t="s">
        <v>4662</v>
      </c>
      <c r="K302" t="s">
        <v>74</v>
      </c>
      <c r="L302" t="s">
        <v>74</v>
      </c>
      <c r="M302" t="s">
        <v>77</v>
      </c>
      <c r="N302" t="s">
        <v>78</v>
      </c>
      <c r="O302" t="s">
        <v>74</v>
      </c>
      <c r="P302" t="s">
        <v>74</v>
      </c>
      <c r="Q302" t="s">
        <v>74</v>
      </c>
      <c r="R302" t="s">
        <v>74</v>
      </c>
      <c r="S302" t="s">
        <v>74</v>
      </c>
      <c r="T302" t="s">
        <v>4663</v>
      </c>
      <c r="U302" t="s">
        <v>4664</v>
      </c>
      <c r="V302" t="s">
        <v>4665</v>
      </c>
      <c r="W302" t="s">
        <v>4666</v>
      </c>
      <c r="X302" t="s">
        <v>4667</v>
      </c>
      <c r="Y302" t="s">
        <v>4668</v>
      </c>
      <c r="Z302" t="s">
        <v>74</v>
      </c>
      <c r="AA302" t="s">
        <v>74</v>
      </c>
      <c r="AB302" t="s">
        <v>4669</v>
      </c>
      <c r="AC302" t="s">
        <v>74</v>
      </c>
      <c r="AD302" t="s">
        <v>74</v>
      </c>
      <c r="AE302" t="s">
        <v>74</v>
      </c>
      <c r="AF302" t="s">
        <v>74</v>
      </c>
      <c r="AG302">
        <v>5</v>
      </c>
      <c r="AH302">
        <v>44</v>
      </c>
      <c r="AI302">
        <v>44</v>
      </c>
      <c r="AJ302">
        <v>0</v>
      </c>
      <c r="AK302">
        <v>1</v>
      </c>
      <c r="AL302" t="s">
        <v>4670</v>
      </c>
      <c r="AM302" t="s">
        <v>4671</v>
      </c>
      <c r="AN302" t="s">
        <v>4672</v>
      </c>
      <c r="AO302" t="s">
        <v>4673</v>
      </c>
      <c r="AP302" t="s">
        <v>74</v>
      </c>
      <c r="AQ302" t="s">
        <v>74</v>
      </c>
      <c r="AR302" t="s">
        <v>4674</v>
      </c>
      <c r="AS302" t="s">
        <v>4675</v>
      </c>
      <c r="AT302" t="s">
        <v>4604</v>
      </c>
      <c r="AU302">
        <v>2003</v>
      </c>
      <c r="AV302">
        <v>406</v>
      </c>
      <c r="AW302">
        <v>1</v>
      </c>
      <c r="AX302" t="s">
        <v>74</v>
      </c>
      <c r="AY302" t="s">
        <v>74</v>
      </c>
      <c r="AZ302" t="s">
        <v>74</v>
      </c>
      <c r="BA302" t="s">
        <v>74</v>
      </c>
      <c r="BB302" t="s">
        <v>4676</v>
      </c>
      <c r="BC302" t="s">
        <v>4677</v>
      </c>
      <c r="BD302" t="s">
        <v>74</v>
      </c>
      <c r="BE302" t="s">
        <v>4678</v>
      </c>
      <c r="BF302" t="str">
        <f>HYPERLINK("http://dx.doi.org/10.1051/0004-6361:20030836","http://dx.doi.org/10.1051/0004-6361:20030836")</f>
        <v>http://dx.doi.org/10.1051/0004-6361:20030836</v>
      </c>
      <c r="BG302" t="s">
        <v>74</v>
      </c>
      <c r="BH302" t="s">
        <v>74</v>
      </c>
      <c r="BI302">
        <v>4</v>
      </c>
      <c r="BJ302" t="s">
        <v>1333</v>
      </c>
      <c r="BK302" t="s">
        <v>94</v>
      </c>
      <c r="BL302" t="s">
        <v>1333</v>
      </c>
      <c r="BM302" t="s">
        <v>4679</v>
      </c>
      <c r="BN302" t="s">
        <v>74</v>
      </c>
      <c r="BO302" t="s">
        <v>551</v>
      </c>
      <c r="BP302" t="s">
        <v>74</v>
      </c>
      <c r="BQ302" t="s">
        <v>74</v>
      </c>
      <c r="BR302" t="s">
        <v>97</v>
      </c>
      <c r="BS302" t="s">
        <v>4680</v>
      </c>
      <c r="BT302" t="str">
        <f>HYPERLINK("https%3A%2F%2Fwww.webofscience.com%2Fwos%2Fwoscc%2Ffull-record%2FWOS:000184099400005","View Full Record in Web of Science")</f>
        <v>View Full Record in Web of Science</v>
      </c>
    </row>
    <row r="303" spans="1:72" x14ac:dyDescent="0.15">
      <c r="A303" t="s">
        <v>72</v>
      </c>
      <c r="B303" t="s">
        <v>3128</v>
      </c>
      <c r="C303" t="s">
        <v>74</v>
      </c>
      <c r="D303" t="s">
        <v>74</v>
      </c>
      <c r="E303" t="s">
        <v>74</v>
      </c>
      <c r="F303" t="s">
        <v>3128</v>
      </c>
      <c r="G303" t="s">
        <v>74</v>
      </c>
      <c r="H303" t="s">
        <v>74</v>
      </c>
      <c r="I303" t="s">
        <v>4681</v>
      </c>
      <c r="J303" t="s">
        <v>4682</v>
      </c>
      <c r="K303" t="s">
        <v>74</v>
      </c>
      <c r="L303" t="s">
        <v>74</v>
      </c>
      <c r="M303" t="s">
        <v>77</v>
      </c>
      <c r="N303" t="s">
        <v>78</v>
      </c>
      <c r="O303" t="s">
        <v>74</v>
      </c>
      <c r="P303" t="s">
        <v>74</v>
      </c>
      <c r="Q303" t="s">
        <v>74</v>
      </c>
      <c r="R303" t="s">
        <v>74</v>
      </c>
      <c r="S303" t="s">
        <v>74</v>
      </c>
      <c r="T303" t="s">
        <v>4683</v>
      </c>
      <c r="U303" t="s">
        <v>4684</v>
      </c>
      <c r="V303" t="s">
        <v>4685</v>
      </c>
      <c r="W303" t="s">
        <v>4686</v>
      </c>
      <c r="X303" t="s">
        <v>706</v>
      </c>
      <c r="Y303" t="s">
        <v>4687</v>
      </c>
      <c r="Z303" t="s">
        <v>3134</v>
      </c>
      <c r="AA303" t="s">
        <v>3135</v>
      </c>
      <c r="AB303" t="s">
        <v>74</v>
      </c>
      <c r="AC303" t="s">
        <v>74</v>
      </c>
      <c r="AD303" t="s">
        <v>74</v>
      </c>
      <c r="AE303" t="s">
        <v>74</v>
      </c>
      <c r="AF303" t="s">
        <v>74</v>
      </c>
      <c r="AG303">
        <v>32</v>
      </c>
      <c r="AH303">
        <v>21</v>
      </c>
      <c r="AI303">
        <v>24</v>
      </c>
      <c r="AJ303">
        <v>0</v>
      </c>
      <c r="AK303">
        <v>6</v>
      </c>
      <c r="AL303" t="s">
        <v>169</v>
      </c>
      <c r="AM303" t="s">
        <v>170</v>
      </c>
      <c r="AN303" t="s">
        <v>171</v>
      </c>
      <c r="AO303" t="s">
        <v>4688</v>
      </c>
      <c r="AP303" t="s">
        <v>4689</v>
      </c>
      <c r="AQ303" t="s">
        <v>74</v>
      </c>
      <c r="AR303" t="s">
        <v>4690</v>
      </c>
      <c r="AS303" t="s">
        <v>4691</v>
      </c>
      <c r="AT303" t="s">
        <v>4604</v>
      </c>
      <c r="AU303">
        <v>2003</v>
      </c>
      <c r="AV303">
        <v>37</v>
      </c>
      <c r="AW303">
        <v>22</v>
      </c>
      <c r="AX303" t="s">
        <v>74</v>
      </c>
      <c r="AY303" t="s">
        <v>74</v>
      </c>
      <c r="AZ303" t="s">
        <v>74</v>
      </c>
      <c r="BA303" t="s">
        <v>74</v>
      </c>
      <c r="BB303">
        <v>3147</v>
      </c>
      <c r="BC303">
        <v>3155</v>
      </c>
      <c r="BD303" t="s">
        <v>74</v>
      </c>
      <c r="BE303" t="s">
        <v>4692</v>
      </c>
      <c r="BF303" t="str">
        <f>HYPERLINK("http://dx.doi.org/10.1016/S1352-2310(03)00207-3","http://dx.doi.org/10.1016/S1352-2310(03)00207-3")</f>
        <v>http://dx.doi.org/10.1016/S1352-2310(03)00207-3</v>
      </c>
      <c r="BG303" t="s">
        <v>74</v>
      </c>
      <c r="BH303" t="s">
        <v>74</v>
      </c>
      <c r="BI303">
        <v>9</v>
      </c>
      <c r="BJ303" t="s">
        <v>4485</v>
      </c>
      <c r="BK303" t="s">
        <v>94</v>
      </c>
      <c r="BL303" t="s">
        <v>4486</v>
      </c>
      <c r="BM303" t="s">
        <v>4693</v>
      </c>
      <c r="BN303" t="s">
        <v>74</v>
      </c>
      <c r="BO303" t="s">
        <v>74</v>
      </c>
      <c r="BP303" t="s">
        <v>74</v>
      </c>
      <c r="BQ303" t="s">
        <v>74</v>
      </c>
      <c r="BR303" t="s">
        <v>97</v>
      </c>
      <c r="BS303" t="s">
        <v>4694</v>
      </c>
      <c r="BT303" t="str">
        <f>HYPERLINK("https%3A%2F%2Fwww.webofscience.com%2Fwos%2Fwoscc%2Ffull-record%2FWOS:000184165000012","View Full Record in Web of Science")</f>
        <v>View Full Record in Web of Science</v>
      </c>
    </row>
    <row r="304" spans="1:72" x14ac:dyDescent="0.15">
      <c r="A304" t="s">
        <v>72</v>
      </c>
      <c r="B304" t="s">
        <v>4695</v>
      </c>
      <c r="C304" t="s">
        <v>74</v>
      </c>
      <c r="D304" t="s">
        <v>74</v>
      </c>
      <c r="E304" t="s">
        <v>74</v>
      </c>
      <c r="F304" t="s">
        <v>4695</v>
      </c>
      <c r="G304" t="s">
        <v>74</v>
      </c>
      <c r="H304" t="s">
        <v>74</v>
      </c>
      <c r="I304" t="s">
        <v>4696</v>
      </c>
      <c r="J304" t="s">
        <v>4697</v>
      </c>
      <c r="K304" t="s">
        <v>74</v>
      </c>
      <c r="L304" t="s">
        <v>74</v>
      </c>
      <c r="M304" t="s">
        <v>77</v>
      </c>
      <c r="N304" t="s">
        <v>159</v>
      </c>
      <c r="O304" t="s">
        <v>4698</v>
      </c>
      <c r="P304" t="s">
        <v>4699</v>
      </c>
      <c r="Q304" t="s">
        <v>4700</v>
      </c>
      <c r="R304" t="s">
        <v>74</v>
      </c>
      <c r="S304" t="s">
        <v>74</v>
      </c>
      <c r="T304" t="s">
        <v>74</v>
      </c>
      <c r="U304" t="s">
        <v>4701</v>
      </c>
      <c r="V304" t="s">
        <v>4702</v>
      </c>
      <c r="W304" t="s">
        <v>4703</v>
      </c>
      <c r="X304" t="s">
        <v>4704</v>
      </c>
      <c r="Y304" t="s">
        <v>4705</v>
      </c>
      <c r="Z304" t="s">
        <v>4706</v>
      </c>
      <c r="AA304" t="s">
        <v>74</v>
      </c>
      <c r="AB304" t="s">
        <v>74</v>
      </c>
      <c r="AC304" t="s">
        <v>74</v>
      </c>
      <c r="AD304" t="s">
        <v>74</v>
      </c>
      <c r="AE304" t="s">
        <v>74</v>
      </c>
      <c r="AF304" t="s">
        <v>74</v>
      </c>
      <c r="AG304">
        <v>20</v>
      </c>
      <c r="AH304">
        <v>9</v>
      </c>
      <c r="AI304">
        <v>9</v>
      </c>
      <c r="AJ304">
        <v>1</v>
      </c>
      <c r="AK304">
        <v>6</v>
      </c>
      <c r="AL304" t="s">
        <v>4707</v>
      </c>
      <c r="AM304" t="s">
        <v>4708</v>
      </c>
      <c r="AN304" t="s">
        <v>4709</v>
      </c>
      <c r="AO304" t="s">
        <v>4710</v>
      </c>
      <c r="AP304" t="s">
        <v>4711</v>
      </c>
      <c r="AQ304" t="s">
        <v>74</v>
      </c>
      <c r="AR304" t="s">
        <v>4712</v>
      </c>
      <c r="AS304" t="s">
        <v>4713</v>
      </c>
      <c r="AT304" t="s">
        <v>4714</v>
      </c>
      <c r="AU304">
        <v>2003</v>
      </c>
      <c r="AV304">
        <v>24</v>
      </c>
      <c r="AW304">
        <v>4</v>
      </c>
      <c r="AX304" t="s">
        <v>74</v>
      </c>
      <c r="AY304" t="s">
        <v>74</v>
      </c>
      <c r="AZ304" t="s">
        <v>74</v>
      </c>
      <c r="BA304" t="s">
        <v>74</v>
      </c>
      <c r="BB304">
        <v>133</v>
      </c>
      <c r="BC304">
        <v>142</v>
      </c>
      <c r="BD304" t="s">
        <v>74</v>
      </c>
      <c r="BE304" t="s">
        <v>74</v>
      </c>
      <c r="BF304" t="s">
        <v>74</v>
      </c>
      <c r="BG304" t="s">
        <v>74</v>
      </c>
      <c r="BH304" t="s">
        <v>74</v>
      </c>
      <c r="BI304">
        <v>10</v>
      </c>
      <c r="BJ304" t="s">
        <v>4068</v>
      </c>
      <c r="BK304" t="s">
        <v>177</v>
      </c>
      <c r="BL304" t="s">
        <v>4068</v>
      </c>
      <c r="BM304" t="s">
        <v>4715</v>
      </c>
      <c r="BN304" t="s">
        <v>74</v>
      </c>
      <c r="BO304" t="s">
        <v>74</v>
      </c>
      <c r="BP304" t="s">
        <v>74</v>
      </c>
      <c r="BQ304" t="s">
        <v>74</v>
      </c>
      <c r="BR304" t="s">
        <v>97</v>
      </c>
      <c r="BS304" t="s">
        <v>4716</v>
      </c>
      <c r="BT304" t="str">
        <f>HYPERLINK("https%3A%2F%2Fwww.webofscience.com%2Fwos%2Fwoscc%2Ffull-record%2FWOS:000185067400004","View Full Record in Web of Science")</f>
        <v>View Full Record in Web of Science</v>
      </c>
    </row>
    <row r="305" spans="1:72" x14ac:dyDescent="0.15">
      <c r="A305" t="s">
        <v>72</v>
      </c>
      <c r="B305" t="s">
        <v>4717</v>
      </c>
      <c r="C305" t="s">
        <v>74</v>
      </c>
      <c r="D305" t="s">
        <v>74</v>
      </c>
      <c r="E305" t="s">
        <v>74</v>
      </c>
      <c r="F305" t="s">
        <v>4717</v>
      </c>
      <c r="G305" t="s">
        <v>74</v>
      </c>
      <c r="H305" t="s">
        <v>74</v>
      </c>
      <c r="I305" t="s">
        <v>4718</v>
      </c>
      <c r="J305" t="s">
        <v>4719</v>
      </c>
      <c r="K305" t="s">
        <v>74</v>
      </c>
      <c r="L305" t="s">
        <v>74</v>
      </c>
      <c r="M305" t="s">
        <v>77</v>
      </c>
      <c r="N305" t="s">
        <v>78</v>
      </c>
      <c r="O305" t="s">
        <v>74</v>
      </c>
      <c r="P305" t="s">
        <v>74</v>
      </c>
      <c r="Q305" t="s">
        <v>74</v>
      </c>
      <c r="R305" t="s">
        <v>74</v>
      </c>
      <c r="S305" t="s">
        <v>74</v>
      </c>
      <c r="T305" t="s">
        <v>4720</v>
      </c>
      <c r="U305" t="s">
        <v>4721</v>
      </c>
      <c r="V305" t="s">
        <v>4722</v>
      </c>
      <c r="W305" t="s">
        <v>4723</v>
      </c>
      <c r="X305" t="s">
        <v>4724</v>
      </c>
      <c r="Y305" t="s">
        <v>4725</v>
      </c>
      <c r="Z305" t="s">
        <v>74</v>
      </c>
      <c r="AA305" t="s">
        <v>4726</v>
      </c>
      <c r="AB305" t="s">
        <v>4727</v>
      </c>
      <c r="AC305" t="s">
        <v>74</v>
      </c>
      <c r="AD305" t="s">
        <v>74</v>
      </c>
      <c r="AE305" t="s">
        <v>74</v>
      </c>
      <c r="AF305" t="s">
        <v>74</v>
      </c>
      <c r="AG305">
        <v>39</v>
      </c>
      <c r="AH305">
        <v>52</v>
      </c>
      <c r="AI305">
        <v>55</v>
      </c>
      <c r="AJ305">
        <v>1</v>
      </c>
      <c r="AK305">
        <v>20</v>
      </c>
      <c r="AL305" t="s">
        <v>342</v>
      </c>
      <c r="AM305" t="s">
        <v>229</v>
      </c>
      <c r="AN305" t="s">
        <v>343</v>
      </c>
      <c r="AO305" t="s">
        <v>4728</v>
      </c>
      <c r="AP305" t="s">
        <v>74</v>
      </c>
      <c r="AQ305" t="s">
        <v>74</v>
      </c>
      <c r="AR305" t="s">
        <v>4729</v>
      </c>
      <c r="AS305" t="s">
        <v>4730</v>
      </c>
      <c r="AT305" t="s">
        <v>4604</v>
      </c>
      <c r="AU305">
        <v>2003</v>
      </c>
      <c r="AV305">
        <v>54</v>
      </c>
      <c r="AW305">
        <v>2</v>
      </c>
      <c r="AX305" t="s">
        <v>74</v>
      </c>
      <c r="AY305" t="s">
        <v>74</v>
      </c>
      <c r="AZ305" t="s">
        <v>74</v>
      </c>
      <c r="BA305" t="s">
        <v>74</v>
      </c>
      <c r="BB305">
        <v>174</v>
      </c>
      <c r="BC305">
        <v>178</v>
      </c>
      <c r="BD305" t="s">
        <v>74</v>
      </c>
      <c r="BE305" t="s">
        <v>4731</v>
      </c>
      <c r="BF305" t="str">
        <f>HYPERLINK("http://dx.doi.org/10.1007/s00265-003-0610-7","http://dx.doi.org/10.1007/s00265-003-0610-7")</f>
        <v>http://dx.doi.org/10.1007/s00265-003-0610-7</v>
      </c>
      <c r="BG305" t="s">
        <v>74</v>
      </c>
      <c r="BH305" t="s">
        <v>74</v>
      </c>
      <c r="BI305">
        <v>5</v>
      </c>
      <c r="BJ305" t="s">
        <v>4732</v>
      </c>
      <c r="BK305" t="s">
        <v>94</v>
      </c>
      <c r="BL305" t="s">
        <v>4733</v>
      </c>
      <c r="BM305" t="s">
        <v>4734</v>
      </c>
      <c r="BN305" t="s">
        <v>74</v>
      </c>
      <c r="BO305" t="s">
        <v>74</v>
      </c>
      <c r="BP305" t="s">
        <v>74</v>
      </c>
      <c r="BQ305" t="s">
        <v>74</v>
      </c>
      <c r="BR305" t="s">
        <v>97</v>
      </c>
      <c r="BS305" t="s">
        <v>4735</v>
      </c>
      <c r="BT305" t="str">
        <f>HYPERLINK("https%3A%2F%2Fwww.webofscience.com%2Fwos%2Fwoscc%2Ffull-record%2FWOS:000184537900012","View Full Record in Web of Science")</f>
        <v>View Full Record in Web of Science</v>
      </c>
    </row>
    <row r="306" spans="1:72" x14ac:dyDescent="0.15">
      <c r="A306" t="s">
        <v>72</v>
      </c>
      <c r="B306" t="s">
        <v>4736</v>
      </c>
      <c r="C306" t="s">
        <v>74</v>
      </c>
      <c r="D306" t="s">
        <v>74</v>
      </c>
      <c r="E306" t="s">
        <v>74</v>
      </c>
      <c r="F306" t="s">
        <v>4736</v>
      </c>
      <c r="G306" t="s">
        <v>74</v>
      </c>
      <c r="H306" t="s">
        <v>74</v>
      </c>
      <c r="I306" t="s">
        <v>4737</v>
      </c>
      <c r="J306" t="s">
        <v>4738</v>
      </c>
      <c r="K306" t="s">
        <v>74</v>
      </c>
      <c r="L306" t="s">
        <v>74</v>
      </c>
      <c r="M306" t="s">
        <v>77</v>
      </c>
      <c r="N306" t="s">
        <v>159</v>
      </c>
      <c r="O306" t="s">
        <v>4739</v>
      </c>
      <c r="P306" t="s">
        <v>4740</v>
      </c>
      <c r="Q306" t="s">
        <v>4741</v>
      </c>
      <c r="R306" t="s">
        <v>74</v>
      </c>
      <c r="S306" t="s">
        <v>74</v>
      </c>
      <c r="T306" t="s">
        <v>4742</v>
      </c>
      <c r="U306" t="s">
        <v>4743</v>
      </c>
      <c r="V306" t="s">
        <v>4744</v>
      </c>
      <c r="W306" t="s">
        <v>4745</v>
      </c>
      <c r="X306" t="s">
        <v>4746</v>
      </c>
      <c r="Y306" t="s">
        <v>4747</v>
      </c>
      <c r="Z306" t="s">
        <v>74</v>
      </c>
      <c r="AA306" t="s">
        <v>4748</v>
      </c>
      <c r="AB306" t="s">
        <v>4749</v>
      </c>
      <c r="AC306" t="s">
        <v>74</v>
      </c>
      <c r="AD306" t="s">
        <v>74</v>
      </c>
      <c r="AE306" t="s">
        <v>74</v>
      </c>
      <c r="AF306" t="s">
        <v>74</v>
      </c>
      <c r="AG306">
        <v>16</v>
      </c>
      <c r="AH306">
        <v>44</v>
      </c>
      <c r="AI306">
        <v>57</v>
      </c>
      <c r="AJ306">
        <v>0</v>
      </c>
      <c r="AK306">
        <v>13</v>
      </c>
      <c r="AL306" t="s">
        <v>110</v>
      </c>
      <c r="AM306" t="s">
        <v>111</v>
      </c>
      <c r="AN306" t="s">
        <v>112</v>
      </c>
      <c r="AO306" t="s">
        <v>4750</v>
      </c>
      <c r="AP306" t="s">
        <v>74</v>
      </c>
      <c r="AQ306" t="s">
        <v>74</v>
      </c>
      <c r="AR306" t="s">
        <v>4751</v>
      </c>
      <c r="AS306" t="s">
        <v>4752</v>
      </c>
      <c r="AT306" t="s">
        <v>4604</v>
      </c>
      <c r="AU306">
        <v>2003</v>
      </c>
      <c r="AV306">
        <v>20</v>
      </c>
      <c r="AW306" t="s">
        <v>4753</v>
      </c>
      <c r="AX306" t="s">
        <v>74</v>
      </c>
      <c r="AY306" t="s">
        <v>74</v>
      </c>
      <c r="AZ306" t="s">
        <v>2491</v>
      </c>
      <c r="BA306" t="s">
        <v>74</v>
      </c>
      <c r="BB306">
        <v>317</v>
      </c>
      <c r="BC306">
        <v>324</v>
      </c>
      <c r="BD306" t="s">
        <v>74</v>
      </c>
      <c r="BE306" t="s">
        <v>4754</v>
      </c>
      <c r="BF306" t="str">
        <f>HYPERLINK("http://dx.doi.org/10.1016/S1389-0344(03)00039-X","http://dx.doi.org/10.1016/S1389-0344(03)00039-X")</f>
        <v>http://dx.doi.org/10.1016/S1389-0344(03)00039-X</v>
      </c>
      <c r="BG306" t="s">
        <v>74</v>
      </c>
      <c r="BH306" t="s">
        <v>74</v>
      </c>
      <c r="BI306">
        <v>8</v>
      </c>
      <c r="BJ306" t="s">
        <v>4755</v>
      </c>
      <c r="BK306" t="s">
        <v>854</v>
      </c>
      <c r="BL306" t="s">
        <v>4756</v>
      </c>
      <c r="BM306" t="s">
        <v>4757</v>
      </c>
      <c r="BN306">
        <v>12919815</v>
      </c>
      <c r="BO306" t="s">
        <v>74</v>
      </c>
      <c r="BP306" t="s">
        <v>74</v>
      </c>
      <c r="BQ306" t="s">
        <v>74</v>
      </c>
      <c r="BR306" t="s">
        <v>97</v>
      </c>
      <c r="BS306" t="s">
        <v>4758</v>
      </c>
      <c r="BT306" t="str">
        <f>HYPERLINK("https%3A%2F%2Fwww.webofscience.com%2Fwos%2Fwoscc%2Ffull-record%2FWOS:000184977900029","View Full Record in Web of Science")</f>
        <v>View Full Record in Web of Science</v>
      </c>
    </row>
    <row r="307" spans="1:72" x14ac:dyDescent="0.15">
      <c r="A307" t="s">
        <v>72</v>
      </c>
      <c r="B307" t="s">
        <v>4759</v>
      </c>
      <c r="C307" t="s">
        <v>74</v>
      </c>
      <c r="D307" t="s">
        <v>74</v>
      </c>
      <c r="E307" t="s">
        <v>74</v>
      </c>
      <c r="F307" t="s">
        <v>4759</v>
      </c>
      <c r="G307" t="s">
        <v>74</v>
      </c>
      <c r="H307" t="s">
        <v>74</v>
      </c>
      <c r="I307" t="s">
        <v>4760</v>
      </c>
      <c r="J307" t="s">
        <v>4761</v>
      </c>
      <c r="K307" t="s">
        <v>74</v>
      </c>
      <c r="L307" t="s">
        <v>74</v>
      </c>
      <c r="M307" t="s">
        <v>77</v>
      </c>
      <c r="N307" t="s">
        <v>78</v>
      </c>
      <c r="O307" t="s">
        <v>74</v>
      </c>
      <c r="P307" t="s">
        <v>74</v>
      </c>
      <c r="Q307" t="s">
        <v>74</v>
      </c>
      <c r="R307" t="s">
        <v>74</v>
      </c>
      <c r="S307" t="s">
        <v>74</v>
      </c>
      <c r="T307" t="s">
        <v>74</v>
      </c>
      <c r="U307" t="s">
        <v>4762</v>
      </c>
      <c r="V307" t="s">
        <v>4763</v>
      </c>
      <c r="W307" t="s">
        <v>4764</v>
      </c>
      <c r="X307" t="s">
        <v>4765</v>
      </c>
      <c r="Y307" t="s">
        <v>4766</v>
      </c>
      <c r="Z307" t="s">
        <v>74</v>
      </c>
      <c r="AA307" t="s">
        <v>4767</v>
      </c>
      <c r="AB307" t="s">
        <v>4768</v>
      </c>
      <c r="AC307" t="s">
        <v>74</v>
      </c>
      <c r="AD307" t="s">
        <v>74</v>
      </c>
      <c r="AE307" t="s">
        <v>74</v>
      </c>
      <c r="AF307" t="s">
        <v>74</v>
      </c>
      <c r="AG307">
        <v>24</v>
      </c>
      <c r="AH307">
        <v>9</v>
      </c>
      <c r="AI307">
        <v>11</v>
      </c>
      <c r="AJ307">
        <v>1</v>
      </c>
      <c r="AK307">
        <v>24</v>
      </c>
      <c r="AL307" t="s">
        <v>4769</v>
      </c>
      <c r="AM307" t="s">
        <v>4770</v>
      </c>
      <c r="AN307" t="s">
        <v>4771</v>
      </c>
      <c r="AO307" t="s">
        <v>4772</v>
      </c>
      <c r="AP307" t="s">
        <v>74</v>
      </c>
      <c r="AQ307" t="s">
        <v>74</v>
      </c>
      <c r="AR307" t="s">
        <v>4761</v>
      </c>
      <c r="AS307" t="s">
        <v>4773</v>
      </c>
      <c r="AT307" t="s">
        <v>4604</v>
      </c>
      <c r="AU307">
        <v>2003</v>
      </c>
      <c r="AV307">
        <v>50</v>
      </c>
      <c r="AW307" t="s">
        <v>74</v>
      </c>
      <c r="AX307">
        <v>2</v>
      </c>
      <c r="AY307" t="s">
        <v>74</v>
      </c>
      <c r="AZ307" t="s">
        <v>74</v>
      </c>
      <c r="BA307" t="s">
        <v>74</v>
      </c>
      <c r="BB307">
        <v>161</v>
      </c>
      <c r="BC307">
        <v>169</v>
      </c>
      <c r="BD307" t="s">
        <v>74</v>
      </c>
      <c r="BE307" t="s">
        <v>4774</v>
      </c>
      <c r="BF307" t="str">
        <f>HYPERLINK("http://dx.doi.org/10.1080/00063650309461308","http://dx.doi.org/10.1080/00063650309461308")</f>
        <v>http://dx.doi.org/10.1080/00063650309461308</v>
      </c>
      <c r="BG307" t="s">
        <v>74</v>
      </c>
      <c r="BH307" t="s">
        <v>74</v>
      </c>
      <c r="BI307">
        <v>9</v>
      </c>
      <c r="BJ307" t="s">
        <v>2546</v>
      </c>
      <c r="BK307" t="s">
        <v>94</v>
      </c>
      <c r="BL307" t="s">
        <v>258</v>
      </c>
      <c r="BM307" t="s">
        <v>4775</v>
      </c>
      <c r="BN307" t="s">
        <v>74</v>
      </c>
      <c r="BO307" t="s">
        <v>2800</v>
      </c>
      <c r="BP307" t="s">
        <v>74</v>
      </c>
      <c r="BQ307" t="s">
        <v>74</v>
      </c>
      <c r="BR307" t="s">
        <v>97</v>
      </c>
      <c r="BS307" t="s">
        <v>4776</v>
      </c>
      <c r="BT307" t="str">
        <f>HYPERLINK("https%3A%2F%2Fwww.webofscience.com%2Fwos%2Fwoscc%2Ffull-record%2FWOS:000184074000009","View Full Record in Web of Science")</f>
        <v>View Full Record in Web of Science</v>
      </c>
    </row>
    <row r="308" spans="1:72" x14ac:dyDescent="0.15">
      <c r="A308" t="s">
        <v>72</v>
      </c>
      <c r="B308" t="s">
        <v>4777</v>
      </c>
      <c r="C308" t="s">
        <v>74</v>
      </c>
      <c r="D308" t="s">
        <v>74</v>
      </c>
      <c r="E308" t="s">
        <v>74</v>
      </c>
      <c r="F308" t="s">
        <v>4777</v>
      </c>
      <c r="G308" t="s">
        <v>74</v>
      </c>
      <c r="H308" t="s">
        <v>74</v>
      </c>
      <c r="I308" t="s">
        <v>4778</v>
      </c>
      <c r="J308" t="s">
        <v>4779</v>
      </c>
      <c r="K308" t="s">
        <v>74</v>
      </c>
      <c r="L308" t="s">
        <v>74</v>
      </c>
      <c r="M308" t="s">
        <v>77</v>
      </c>
      <c r="N308" t="s">
        <v>78</v>
      </c>
      <c r="O308" t="s">
        <v>74</v>
      </c>
      <c r="P308" t="s">
        <v>74</v>
      </c>
      <c r="Q308" t="s">
        <v>74</v>
      </c>
      <c r="R308" t="s">
        <v>74</v>
      </c>
      <c r="S308" t="s">
        <v>74</v>
      </c>
      <c r="T308" t="s">
        <v>74</v>
      </c>
      <c r="U308" t="s">
        <v>4780</v>
      </c>
      <c r="V308" t="s">
        <v>74</v>
      </c>
      <c r="W308" t="s">
        <v>4781</v>
      </c>
      <c r="X308" t="s">
        <v>4782</v>
      </c>
      <c r="Y308" t="s">
        <v>4783</v>
      </c>
      <c r="Z308" t="s">
        <v>74</v>
      </c>
      <c r="AA308" t="s">
        <v>74</v>
      </c>
      <c r="AB308" t="s">
        <v>74</v>
      </c>
      <c r="AC308" t="s">
        <v>74</v>
      </c>
      <c r="AD308" t="s">
        <v>74</v>
      </c>
      <c r="AE308" t="s">
        <v>74</v>
      </c>
      <c r="AF308" t="s">
        <v>74</v>
      </c>
      <c r="AG308">
        <v>22</v>
      </c>
      <c r="AH308">
        <v>9</v>
      </c>
      <c r="AI308">
        <v>10</v>
      </c>
      <c r="AJ308">
        <v>0</v>
      </c>
      <c r="AK308">
        <v>4</v>
      </c>
      <c r="AL308" t="s">
        <v>207</v>
      </c>
      <c r="AM308" t="s">
        <v>229</v>
      </c>
      <c r="AN308" t="s">
        <v>1592</v>
      </c>
      <c r="AO308" t="s">
        <v>4784</v>
      </c>
      <c r="AP308" t="s">
        <v>74</v>
      </c>
      <c r="AQ308" t="s">
        <v>74</v>
      </c>
      <c r="AR308" t="s">
        <v>4785</v>
      </c>
      <c r="AS308" t="s">
        <v>4786</v>
      </c>
      <c r="AT308" t="s">
        <v>4604</v>
      </c>
      <c r="AU308">
        <v>2003</v>
      </c>
      <c r="AV308">
        <v>71</v>
      </c>
      <c r="AW308">
        <v>1</v>
      </c>
      <c r="AX308" t="s">
        <v>74</v>
      </c>
      <c r="AY308" t="s">
        <v>74</v>
      </c>
      <c r="AZ308" t="s">
        <v>74</v>
      </c>
      <c r="BA308" t="s">
        <v>74</v>
      </c>
      <c r="BB308">
        <v>83</v>
      </c>
      <c r="BC308">
        <v>89</v>
      </c>
      <c r="BD308" t="s">
        <v>74</v>
      </c>
      <c r="BE308" t="s">
        <v>4787</v>
      </c>
      <c r="BF308" t="str">
        <f>HYPERLINK("http://dx.doi.org/10.1007/s00128-003-0134-x","http://dx.doi.org/10.1007/s00128-003-0134-x")</f>
        <v>http://dx.doi.org/10.1007/s00128-003-0134-x</v>
      </c>
      <c r="BG308" t="s">
        <v>74</v>
      </c>
      <c r="BH308" t="s">
        <v>74</v>
      </c>
      <c r="BI308">
        <v>7</v>
      </c>
      <c r="BJ308" t="s">
        <v>4788</v>
      </c>
      <c r="BK308" t="s">
        <v>94</v>
      </c>
      <c r="BL308" t="s">
        <v>4789</v>
      </c>
      <c r="BM308" t="s">
        <v>4790</v>
      </c>
      <c r="BN308">
        <v>12945846</v>
      </c>
      <c r="BO308" t="s">
        <v>74</v>
      </c>
      <c r="BP308" t="s">
        <v>74</v>
      </c>
      <c r="BQ308" t="s">
        <v>74</v>
      </c>
      <c r="BR308" t="s">
        <v>97</v>
      </c>
      <c r="BS308" t="s">
        <v>4791</v>
      </c>
      <c r="BT308" t="str">
        <f>HYPERLINK("https%3A%2F%2Fwww.webofscience.com%2Fwos%2Fwoscc%2Ffull-record%2FWOS:000183752300014","View Full Record in Web of Science")</f>
        <v>View Full Record in Web of Science</v>
      </c>
    </row>
    <row r="309" spans="1:72" x14ac:dyDescent="0.15">
      <c r="A309" t="s">
        <v>72</v>
      </c>
      <c r="B309" t="s">
        <v>4792</v>
      </c>
      <c r="C309" t="s">
        <v>74</v>
      </c>
      <c r="D309" t="s">
        <v>74</v>
      </c>
      <c r="E309" t="s">
        <v>74</v>
      </c>
      <c r="F309" t="s">
        <v>4792</v>
      </c>
      <c r="G309" t="s">
        <v>74</v>
      </c>
      <c r="H309" t="s">
        <v>74</v>
      </c>
      <c r="I309" t="s">
        <v>4793</v>
      </c>
      <c r="J309" t="s">
        <v>3345</v>
      </c>
      <c r="K309" t="s">
        <v>74</v>
      </c>
      <c r="L309" t="s">
        <v>74</v>
      </c>
      <c r="M309" t="s">
        <v>77</v>
      </c>
      <c r="N309" t="s">
        <v>159</v>
      </c>
      <c r="O309" t="s">
        <v>4794</v>
      </c>
      <c r="P309" t="s">
        <v>4795</v>
      </c>
      <c r="Q309" t="s">
        <v>4796</v>
      </c>
      <c r="R309" t="s">
        <v>74</v>
      </c>
      <c r="S309" t="s">
        <v>74</v>
      </c>
      <c r="T309" t="s">
        <v>74</v>
      </c>
      <c r="U309" t="s">
        <v>4797</v>
      </c>
      <c r="V309" t="s">
        <v>4798</v>
      </c>
      <c r="W309" t="s">
        <v>4799</v>
      </c>
      <c r="X309" t="s">
        <v>4800</v>
      </c>
      <c r="Y309" t="s">
        <v>4801</v>
      </c>
      <c r="Z309" t="s">
        <v>4802</v>
      </c>
      <c r="AA309" t="s">
        <v>4803</v>
      </c>
      <c r="AB309" t="s">
        <v>74</v>
      </c>
      <c r="AC309" t="s">
        <v>74</v>
      </c>
      <c r="AD309" t="s">
        <v>74</v>
      </c>
      <c r="AE309" t="s">
        <v>74</v>
      </c>
      <c r="AF309" t="s">
        <v>74</v>
      </c>
      <c r="AG309">
        <v>125</v>
      </c>
      <c r="AH309">
        <v>181</v>
      </c>
      <c r="AI309">
        <v>222</v>
      </c>
      <c r="AJ309">
        <v>3</v>
      </c>
      <c r="AK309">
        <v>98</v>
      </c>
      <c r="AL309" t="s">
        <v>169</v>
      </c>
      <c r="AM309" t="s">
        <v>170</v>
      </c>
      <c r="AN309" t="s">
        <v>171</v>
      </c>
      <c r="AO309" t="s">
        <v>3353</v>
      </c>
      <c r="AP309" t="s">
        <v>4804</v>
      </c>
      <c r="AQ309" t="s">
        <v>74</v>
      </c>
      <c r="AR309" t="s">
        <v>3345</v>
      </c>
      <c r="AS309" t="s">
        <v>3354</v>
      </c>
      <c r="AT309" t="s">
        <v>4604</v>
      </c>
      <c r="AU309">
        <v>2003</v>
      </c>
      <c r="AV309">
        <v>52</v>
      </c>
      <c r="AW309">
        <v>2</v>
      </c>
      <c r="AX309" t="s">
        <v>74</v>
      </c>
      <c r="AY309" t="s">
        <v>74</v>
      </c>
      <c r="AZ309" t="s">
        <v>74</v>
      </c>
      <c r="BA309" t="s">
        <v>74</v>
      </c>
      <c r="BB309">
        <v>325</v>
      </c>
      <c r="BC309">
        <v>338</v>
      </c>
      <c r="BD309" t="s">
        <v>74</v>
      </c>
      <c r="BE309" t="s">
        <v>4805</v>
      </c>
      <c r="BF309" t="str">
        <f>HYPERLINK("http://dx.doi.org/10.1016/S0045-6535(03)00216-9","http://dx.doi.org/10.1016/S0045-6535(03)00216-9")</f>
        <v>http://dx.doi.org/10.1016/S0045-6535(03)00216-9</v>
      </c>
      <c r="BG309" t="s">
        <v>74</v>
      </c>
      <c r="BH309" t="s">
        <v>74</v>
      </c>
      <c r="BI309">
        <v>14</v>
      </c>
      <c r="BJ309" t="s">
        <v>2511</v>
      </c>
      <c r="BK309" t="s">
        <v>177</v>
      </c>
      <c r="BL309" t="s">
        <v>2512</v>
      </c>
      <c r="BM309" t="s">
        <v>4806</v>
      </c>
      <c r="BN309">
        <v>12738256</v>
      </c>
      <c r="BO309" t="s">
        <v>74</v>
      </c>
      <c r="BP309" t="s">
        <v>74</v>
      </c>
      <c r="BQ309" t="s">
        <v>74</v>
      </c>
      <c r="BR309" t="s">
        <v>97</v>
      </c>
      <c r="BS309" t="s">
        <v>4807</v>
      </c>
      <c r="BT309" t="str">
        <f>HYPERLINK("https%3A%2F%2Fwww.webofscience.com%2Fwos%2Fwoscc%2Ffull-record%2FWOS:000183100500005","View Full Record in Web of Science")</f>
        <v>View Full Record in Web of Science</v>
      </c>
    </row>
    <row r="310" spans="1:72" x14ac:dyDescent="0.15">
      <c r="A310" t="s">
        <v>72</v>
      </c>
      <c r="B310" t="s">
        <v>4808</v>
      </c>
      <c r="C310" t="s">
        <v>74</v>
      </c>
      <c r="D310" t="s">
        <v>74</v>
      </c>
      <c r="E310" t="s">
        <v>74</v>
      </c>
      <c r="F310" t="s">
        <v>4808</v>
      </c>
      <c r="G310" t="s">
        <v>74</v>
      </c>
      <c r="H310" t="s">
        <v>74</v>
      </c>
      <c r="I310" t="s">
        <v>4809</v>
      </c>
      <c r="J310" t="s">
        <v>3360</v>
      </c>
      <c r="K310" t="s">
        <v>74</v>
      </c>
      <c r="L310" t="s">
        <v>74</v>
      </c>
      <c r="M310" t="s">
        <v>77</v>
      </c>
      <c r="N310" t="s">
        <v>159</v>
      </c>
      <c r="O310" t="s">
        <v>4810</v>
      </c>
      <c r="P310" t="s">
        <v>4811</v>
      </c>
      <c r="Q310" t="s">
        <v>4812</v>
      </c>
      <c r="R310" t="s">
        <v>74</v>
      </c>
      <c r="S310" t="s">
        <v>4813</v>
      </c>
      <c r="T310" t="s">
        <v>4814</v>
      </c>
      <c r="U310" t="s">
        <v>4815</v>
      </c>
      <c r="V310" t="s">
        <v>4816</v>
      </c>
      <c r="W310" t="s">
        <v>4817</v>
      </c>
      <c r="X310" t="s">
        <v>4818</v>
      </c>
      <c r="Y310" t="s">
        <v>4819</v>
      </c>
      <c r="Z310" t="s">
        <v>74</v>
      </c>
      <c r="AA310" t="s">
        <v>74</v>
      </c>
      <c r="AB310" t="s">
        <v>74</v>
      </c>
      <c r="AC310" t="s">
        <v>74</v>
      </c>
      <c r="AD310" t="s">
        <v>74</v>
      </c>
      <c r="AE310" t="s">
        <v>74</v>
      </c>
      <c r="AF310" t="s">
        <v>74</v>
      </c>
      <c r="AG310">
        <v>35</v>
      </c>
      <c r="AH310">
        <v>1</v>
      </c>
      <c r="AI310">
        <v>1</v>
      </c>
      <c r="AJ310">
        <v>0</v>
      </c>
      <c r="AK310">
        <v>4</v>
      </c>
      <c r="AL310" t="s">
        <v>4820</v>
      </c>
      <c r="AM310" t="s">
        <v>3370</v>
      </c>
      <c r="AN310" t="s">
        <v>3371</v>
      </c>
      <c r="AO310" t="s">
        <v>3372</v>
      </c>
      <c r="AP310" t="s">
        <v>74</v>
      </c>
      <c r="AQ310" t="s">
        <v>74</v>
      </c>
      <c r="AR310" t="s">
        <v>3374</v>
      </c>
      <c r="AS310" t="s">
        <v>3375</v>
      </c>
      <c r="AT310" t="s">
        <v>4604</v>
      </c>
      <c r="AU310">
        <v>2003</v>
      </c>
      <c r="AV310">
        <v>48</v>
      </c>
      <c r="AW310">
        <v>14</v>
      </c>
      <c r="AX310" t="s">
        <v>74</v>
      </c>
      <c r="AY310" t="s">
        <v>74</v>
      </c>
      <c r="AZ310" t="s">
        <v>74</v>
      </c>
      <c r="BA310" t="s">
        <v>74</v>
      </c>
      <c r="BB310">
        <v>1483</v>
      </c>
      <c r="BC310">
        <v>1487</v>
      </c>
      <c r="BD310" t="s">
        <v>74</v>
      </c>
      <c r="BE310" t="s">
        <v>4821</v>
      </c>
      <c r="BF310" t="str">
        <f>HYPERLINK("http://dx.doi.org/10.1360/02wd0266","http://dx.doi.org/10.1360/02wd0266")</f>
        <v>http://dx.doi.org/10.1360/02wd0266</v>
      </c>
      <c r="BG310" t="s">
        <v>74</v>
      </c>
      <c r="BH310" t="s">
        <v>74</v>
      </c>
      <c r="BI310">
        <v>5</v>
      </c>
      <c r="BJ310" t="s">
        <v>971</v>
      </c>
      <c r="BK310" t="s">
        <v>854</v>
      </c>
      <c r="BL310" t="s">
        <v>972</v>
      </c>
      <c r="BM310" t="s">
        <v>4822</v>
      </c>
      <c r="BN310" t="s">
        <v>74</v>
      </c>
      <c r="BO310" t="s">
        <v>74</v>
      </c>
      <c r="BP310" t="s">
        <v>74</v>
      </c>
      <c r="BQ310" t="s">
        <v>74</v>
      </c>
      <c r="BR310" t="s">
        <v>97</v>
      </c>
      <c r="BS310" t="s">
        <v>4823</v>
      </c>
      <c r="BT310" t="str">
        <f>HYPERLINK("https%3A%2F%2Fwww.webofscience.com%2Fwos%2Fwoscc%2Ffull-record%2FWOS:000184463300016","View Full Record in Web of Science")</f>
        <v>View Full Record in Web of Science</v>
      </c>
    </row>
    <row r="311" spans="1:72" x14ac:dyDescent="0.15">
      <c r="A311" t="s">
        <v>72</v>
      </c>
      <c r="B311" t="s">
        <v>4824</v>
      </c>
      <c r="C311" t="s">
        <v>74</v>
      </c>
      <c r="D311" t="s">
        <v>74</v>
      </c>
      <c r="E311" t="s">
        <v>74</v>
      </c>
      <c r="F311" t="s">
        <v>4824</v>
      </c>
      <c r="G311" t="s">
        <v>74</v>
      </c>
      <c r="H311" t="s">
        <v>74</v>
      </c>
      <c r="I311" t="s">
        <v>4825</v>
      </c>
      <c r="J311" t="s">
        <v>1603</v>
      </c>
      <c r="K311" t="s">
        <v>74</v>
      </c>
      <c r="L311" t="s">
        <v>74</v>
      </c>
      <c r="M311" t="s">
        <v>77</v>
      </c>
      <c r="N311" t="s">
        <v>78</v>
      </c>
      <c r="O311" t="s">
        <v>74</v>
      </c>
      <c r="P311" t="s">
        <v>74</v>
      </c>
      <c r="Q311" t="s">
        <v>74</v>
      </c>
      <c r="R311" t="s">
        <v>74</v>
      </c>
      <c r="S311" t="s">
        <v>74</v>
      </c>
      <c r="T311" t="s">
        <v>4826</v>
      </c>
      <c r="U311" t="s">
        <v>4827</v>
      </c>
      <c r="V311" t="s">
        <v>4828</v>
      </c>
      <c r="W311" t="s">
        <v>4829</v>
      </c>
      <c r="X311" t="s">
        <v>4830</v>
      </c>
      <c r="Y311" t="s">
        <v>4831</v>
      </c>
      <c r="Z311" t="s">
        <v>4832</v>
      </c>
      <c r="AA311" t="s">
        <v>4833</v>
      </c>
      <c r="AB311" t="s">
        <v>4834</v>
      </c>
      <c r="AC311" t="s">
        <v>74</v>
      </c>
      <c r="AD311" t="s">
        <v>74</v>
      </c>
      <c r="AE311" t="s">
        <v>74</v>
      </c>
      <c r="AF311" t="s">
        <v>74</v>
      </c>
      <c r="AG311">
        <v>45</v>
      </c>
      <c r="AH311">
        <v>85</v>
      </c>
      <c r="AI311">
        <v>91</v>
      </c>
      <c r="AJ311">
        <v>1</v>
      </c>
      <c r="AK311">
        <v>33</v>
      </c>
      <c r="AL311" t="s">
        <v>169</v>
      </c>
      <c r="AM311" t="s">
        <v>170</v>
      </c>
      <c r="AN311" t="s">
        <v>171</v>
      </c>
      <c r="AO311" t="s">
        <v>1613</v>
      </c>
      <c r="AP311" t="s">
        <v>74</v>
      </c>
      <c r="AQ311" t="s">
        <v>74</v>
      </c>
      <c r="AR311" t="s">
        <v>1615</v>
      </c>
      <c r="AS311" t="s">
        <v>1616</v>
      </c>
      <c r="AT311" t="s">
        <v>4604</v>
      </c>
      <c r="AU311">
        <v>2003</v>
      </c>
      <c r="AV311">
        <v>50</v>
      </c>
      <c r="AW311">
        <v>7</v>
      </c>
      <c r="AX311" t="s">
        <v>74</v>
      </c>
      <c r="AY311" t="s">
        <v>74</v>
      </c>
      <c r="AZ311" t="s">
        <v>74</v>
      </c>
      <c r="BA311" t="s">
        <v>74</v>
      </c>
      <c r="BB311">
        <v>889</v>
      </c>
      <c r="BC311">
        <v>916</v>
      </c>
      <c r="BD311" t="s">
        <v>74</v>
      </c>
      <c r="BE311" t="s">
        <v>4835</v>
      </c>
      <c r="BF311" t="str">
        <f>HYPERLINK("http://dx.doi.org/10.1016/S0967-0637(03)00072-4","http://dx.doi.org/10.1016/S0967-0637(03)00072-4")</f>
        <v>http://dx.doi.org/10.1016/S0967-0637(03)00072-4</v>
      </c>
      <c r="BG311" t="s">
        <v>74</v>
      </c>
      <c r="BH311" t="s">
        <v>74</v>
      </c>
      <c r="BI311">
        <v>28</v>
      </c>
      <c r="BJ311" t="s">
        <v>678</v>
      </c>
      <c r="BK311" t="s">
        <v>94</v>
      </c>
      <c r="BL311" t="s">
        <v>678</v>
      </c>
      <c r="BM311" t="s">
        <v>4836</v>
      </c>
      <c r="BN311" t="s">
        <v>74</v>
      </c>
      <c r="BO311" t="s">
        <v>74</v>
      </c>
      <c r="BP311" t="s">
        <v>74</v>
      </c>
      <c r="BQ311" t="s">
        <v>74</v>
      </c>
      <c r="BR311" t="s">
        <v>97</v>
      </c>
      <c r="BS311" t="s">
        <v>4837</v>
      </c>
      <c r="BT311" t="str">
        <f>HYPERLINK("https%3A%2F%2Fwww.webofscience.com%2Fwos%2Fwoscc%2Ffull-record%2FWOS:000188458500004","View Full Record in Web of Science")</f>
        <v>View Full Record in Web of Science</v>
      </c>
    </row>
    <row r="312" spans="1:72" x14ac:dyDescent="0.15">
      <c r="A312" t="s">
        <v>72</v>
      </c>
      <c r="B312" t="s">
        <v>4838</v>
      </c>
      <c r="C312" t="s">
        <v>74</v>
      </c>
      <c r="D312" t="s">
        <v>74</v>
      </c>
      <c r="E312" t="s">
        <v>74</v>
      </c>
      <c r="F312" t="s">
        <v>4838</v>
      </c>
      <c r="G312" t="s">
        <v>74</v>
      </c>
      <c r="H312" t="s">
        <v>74</v>
      </c>
      <c r="I312" t="s">
        <v>4839</v>
      </c>
      <c r="J312" t="s">
        <v>1603</v>
      </c>
      <c r="K312" t="s">
        <v>74</v>
      </c>
      <c r="L312" t="s">
        <v>74</v>
      </c>
      <c r="M312" t="s">
        <v>77</v>
      </c>
      <c r="N312" t="s">
        <v>78</v>
      </c>
      <c r="O312" t="s">
        <v>74</v>
      </c>
      <c r="P312" t="s">
        <v>74</v>
      </c>
      <c r="Q312" t="s">
        <v>74</v>
      </c>
      <c r="R312" t="s">
        <v>74</v>
      </c>
      <c r="S312" t="s">
        <v>74</v>
      </c>
      <c r="T312" t="s">
        <v>4840</v>
      </c>
      <c r="U312" t="s">
        <v>4841</v>
      </c>
      <c r="V312" t="s">
        <v>4842</v>
      </c>
      <c r="W312" t="s">
        <v>4843</v>
      </c>
      <c r="X312" t="s">
        <v>4844</v>
      </c>
      <c r="Y312" t="s">
        <v>4845</v>
      </c>
      <c r="Z312" t="s">
        <v>4846</v>
      </c>
      <c r="AA312" t="s">
        <v>4847</v>
      </c>
      <c r="AB312" t="s">
        <v>4848</v>
      </c>
      <c r="AC312" t="s">
        <v>74</v>
      </c>
      <c r="AD312" t="s">
        <v>74</v>
      </c>
      <c r="AE312" t="s">
        <v>74</v>
      </c>
      <c r="AF312" t="s">
        <v>74</v>
      </c>
      <c r="AG312">
        <v>27</v>
      </c>
      <c r="AH312">
        <v>55</v>
      </c>
      <c r="AI312">
        <v>64</v>
      </c>
      <c r="AJ312">
        <v>4</v>
      </c>
      <c r="AK312">
        <v>25</v>
      </c>
      <c r="AL312" t="s">
        <v>169</v>
      </c>
      <c r="AM312" t="s">
        <v>170</v>
      </c>
      <c r="AN312" t="s">
        <v>171</v>
      </c>
      <c r="AO312" t="s">
        <v>1613</v>
      </c>
      <c r="AP312" t="s">
        <v>1614</v>
      </c>
      <c r="AQ312" t="s">
        <v>74</v>
      </c>
      <c r="AR312" t="s">
        <v>1615</v>
      </c>
      <c r="AS312" t="s">
        <v>1616</v>
      </c>
      <c r="AT312" t="s">
        <v>4604</v>
      </c>
      <c r="AU312">
        <v>2003</v>
      </c>
      <c r="AV312">
        <v>50</v>
      </c>
      <c r="AW312">
        <v>7</v>
      </c>
      <c r="AX312" t="s">
        <v>74</v>
      </c>
      <c r="AY312" t="s">
        <v>74</v>
      </c>
      <c r="AZ312" t="s">
        <v>74</v>
      </c>
      <c r="BA312" t="s">
        <v>74</v>
      </c>
      <c r="BB312">
        <v>927</v>
      </c>
      <c r="BC312">
        <v>939</v>
      </c>
      <c r="BD312" t="s">
        <v>74</v>
      </c>
      <c r="BE312" t="s">
        <v>4849</v>
      </c>
      <c r="BF312" t="str">
        <f>HYPERLINK("http://dx.doi.org/10.1016/S0967-0637(03)00055-4","http://dx.doi.org/10.1016/S0967-0637(03)00055-4")</f>
        <v>http://dx.doi.org/10.1016/S0967-0637(03)00055-4</v>
      </c>
      <c r="BG312" t="s">
        <v>74</v>
      </c>
      <c r="BH312" t="s">
        <v>74</v>
      </c>
      <c r="BI312">
        <v>13</v>
      </c>
      <c r="BJ312" t="s">
        <v>678</v>
      </c>
      <c r="BK312" t="s">
        <v>94</v>
      </c>
      <c r="BL312" t="s">
        <v>678</v>
      </c>
      <c r="BM312" t="s">
        <v>4836</v>
      </c>
      <c r="BN312" t="s">
        <v>74</v>
      </c>
      <c r="BO312" t="s">
        <v>74</v>
      </c>
      <c r="BP312" t="s">
        <v>74</v>
      </c>
      <c r="BQ312" t="s">
        <v>74</v>
      </c>
      <c r="BR312" t="s">
        <v>97</v>
      </c>
      <c r="BS312" t="s">
        <v>4850</v>
      </c>
      <c r="BT312" t="str">
        <f>HYPERLINK("https%3A%2F%2Fwww.webofscience.com%2Fwos%2Fwoscc%2Ffull-record%2FWOS:000188458500006","View Full Record in Web of Science")</f>
        <v>View Full Record in Web of Science</v>
      </c>
    </row>
    <row r="313" spans="1:72" x14ac:dyDescent="0.15">
      <c r="A313" t="s">
        <v>72</v>
      </c>
      <c r="B313" t="s">
        <v>4851</v>
      </c>
      <c r="C313" t="s">
        <v>74</v>
      </c>
      <c r="D313" t="s">
        <v>74</v>
      </c>
      <c r="E313" t="s">
        <v>74</v>
      </c>
      <c r="F313" t="s">
        <v>4851</v>
      </c>
      <c r="G313" t="s">
        <v>74</v>
      </c>
      <c r="H313" t="s">
        <v>74</v>
      </c>
      <c r="I313" t="s">
        <v>4852</v>
      </c>
      <c r="J313" t="s">
        <v>4853</v>
      </c>
      <c r="K313" t="s">
        <v>74</v>
      </c>
      <c r="L313" t="s">
        <v>74</v>
      </c>
      <c r="M313" t="s">
        <v>77</v>
      </c>
      <c r="N313" t="s">
        <v>78</v>
      </c>
      <c r="O313" t="s">
        <v>74</v>
      </c>
      <c r="P313" t="s">
        <v>74</v>
      </c>
      <c r="Q313" t="s">
        <v>74</v>
      </c>
      <c r="R313" t="s">
        <v>74</v>
      </c>
      <c r="S313" t="s">
        <v>74</v>
      </c>
      <c r="T313" t="s">
        <v>74</v>
      </c>
      <c r="U313" t="s">
        <v>4854</v>
      </c>
      <c r="V313" t="s">
        <v>74</v>
      </c>
      <c r="W313" t="s">
        <v>4855</v>
      </c>
      <c r="X313" t="s">
        <v>4856</v>
      </c>
      <c r="Y313" t="s">
        <v>4857</v>
      </c>
      <c r="Z313" t="s">
        <v>74</v>
      </c>
      <c r="AA313" t="s">
        <v>4858</v>
      </c>
      <c r="AB313" t="s">
        <v>4859</v>
      </c>
      <c r="AC313" t="s">
        <v>74</v>
      </c>
      <c r="AD313" t="s">
        <v>74</v>
      </c>
      <c r="AE313" t="s">
        <v>74</v>
      </c>
      <c r="AF313" t="s">
        <v>74</v>
      </c>
      <c r="AG313">
        <v>15</v>
      </c>
      <c r="AH313">
        <v>1</v>
      </c>
      <c r="AI313">
        <v>1</v>
      </c>
      <c r="AJ313">
        <v>0</v>
      </c>
      <c r="AK313">
        <v>2</v>
      </c>
      <c r="AL313" t="s">
        <v>1789</v>
      </c>
      <c r="AM313" t="s">
        <v>1790</v>
      </c>
      <c r="AN313" t="s">
        <v>1791</v>
      </c>
      <c r="AO313" t="s">
        <v>4860</v>
      </c>
      <c r="AP313" t="s">
        <v>74</v>
      </c>
      <c r="AQ313" t="s">
        <v>74</v>
      </c>
      <c r="AR313" t="s">
        <v>4861</v>
      </c>
      <c r="AS313" t="s">
        <v>4862</v>
      </c>
      <c r="AT313" t="s">
        <v>4714</v>
      </c>
      <c r="AU313">
        <v>2003</v>
      </c>
      <c r="AV313" t="s">
        <v>4863</v>
      </c>
      <c r="AW313">
        <v>6</v>
      </c>
      <c r="AX313" t="s">
        <v>74</v>
      </c>
      <c r="AY313" t="s">
        <v>74</v>
      </c>
      <c r="AZ313" t="s">
        <v>74</v>
      </c>
      <c r="BA313" t="s">
        <v>74</v>
      </c>
      <c r="BB313">
        <v>850</v>
      </c>
      <c r="BC313">
        <v>853</v>
      </c>
      <c r="BD313" t="s">
        <v>74</v>
      </c>
      <c r="BE313" t="s">
        <v>74</v>
      </c>
      <c r="BF313" t="s">
        <v>74</v>
      </c>
      <c r="BG313" t="s">
        <v>74</v>
      </c>
      <c r="BH313" t="s">
        <v>74</v>
      </c>
      <c r="BI313">
        <v>4</v>
      </c>
      <c r="BJ313" t="s">
        <v>548</v>
      </c>
      <c r="BK313" t="s">
        <v>94</v>
      </c>
      <c r="BL313" t="s">
        <v>549</v>
      </c>
      <c r="BM313" t="s">
        <v>4864</v>
      </c>
      <c r="BN313" t="s">
        <v>74</v>
      </c>
      <c r="BO313" t="s">
        <v>74</v>
      </c>
      <c r="BP313" t="s">
        <v>74</v>
      </c>
      <c r="BQ313" t="s">
        <v>74</v>
      </c>
      <c r="BR313" t="s">
        <v>97</v>
      </c>
      <c r="BS313" t="s">
        <v>4865</v>
      </c>
      <c r="BT313" t="str">
        <f>HYPERLINK("https%3A%2F%2Fwww.webofscience.com%2Fwos%2Fwoscc%2Ffull-record%2FWOS:000185019400018","View Full Record in Web of Science")</f>
        <v>View Full Record in Web of Science</v>
      </c>
    </row>
    <row r="314" spans="1:72" x14ac:dyDescent="0.15">
      <c r="A314" t="s">
        <v>72</v>
      </c>
      <c r="B314" t="s">
        <v>4866</v>
      </c>
      <c r="C314" t="s">
        <v>74</v>
      </c>
      <c r="D314" t="s">
        <v>74</v>
      </c>
      <c r="E314" t="s">
        <v>74</v>
      </c>
      <c r="F314" t="s">
        <v>4866</v>
      </c>
      <c r="G314" t="s">
        <v>74</v>
      </c>
      <c r="H314" t="s">
        <v>74</v>
      </c>
      <c r="I314" t="s">
        <v>4867</v>
      </c>
      <c r="J314" t="s">
        <v>4853</v>
      </c>
      <c r="K314" t="s">
        <v>74</v>
      </c>
      <c r="L314" t="s">
        <v>74</v>
      </c>
      <c r="M314" t="s">
        <v>77</v>
      </c>
      <c r="N314" t="s">
        <v>78</v>
      </c>
      <c r="O314" t="s">
        <v>74</v>
      </c>
      <c r="P314" t="s">
        <v>74</v>
      </c>
      <c r="Q314" t="s">
        <v>74</v>
      </c>
      <c r="R314" t="s">
        <v>74</v>
      </c>
      <c r="S314" t="s">
        <v>74</v>
      </c>
      <c r="T314" t="s">
        <v>74</v>
      </c>
      <c r="U314" t="s">
        <v>4868</v>
      </c>
      <c r="V314" t="s">
        <v>74</v>
      </c>
      <c r="W314" t="s">
        <v>4869</v>
      </c>
      <c r="X314" t="s">
        <v>4870</v>
      </c>
      <c r="Y314" t="s">
        <v>4871</v>
      </c>
      <c r="Z314" t="s">
        <v>74</v>
      </c>
      <c r="AA314" t="s">
        <v>74</v>
      </c>
      <c r="AB314" t="s">
        <v>74</v>
      </c>
      <c r="AC314" t="s">
        <v>74</v>
      </c>
      <c r="AD314" t="s">
        <v>74</v>
      </c>
      <c r="AE314" t="s">
        <v>74</v>
      </c>
      <c r="AF314" t="s">
        <v>74</v>
      </c>
      <c r="AG314">
        <v>12</v>
      </c>
      <c r="AH314">
        <v>0</v>
      </c>
      <c r="AI314">
        <v>0</v>
      </c>
      <c r="AJ314">
        <v>0</v>
      </c>
      <c r="AK314">
        <v>0</v>
      </c>
      <c r="AL314" t="s">
        <v>1789</v>
      </c>
      <c r="AM314" t="s">
        <v>1790</v>
      </c>
      <c r="AN314" t="s">
        <v>1791</v>
      </c>
      <c r="AO314" t="s">
        <v>4860</v>
      </c>
      <c r="AP314" t="s">
        <v>74</v>
      </c>
      <c r="AQ314" t="s">
        <v>74</v>
      </c>
      <c r="AR314" t="s">
        <v>4861</v>
      </c>
      <c r="AS314" t="s">
        <v>4862</v>
      </c>
      <c r="AT314" t="s">
        <v>4714</v>
      </c>
      <c r="AU314">
        <v>2003</v>
      </c>
      <c r="AV314" t="s">
        <v>4863</v>
      </c>
      <c r="AW314">
        <v>6</v>
      </c>
      <c r="AX314" t="s">
        <v>74</v>
      </c>
      <c r="AY314" t="s">
        <v>74</v>
      </c>
      <c r="AZ314" t="s">
        <v>74</v>
      </c>
      <c r="BA314" t="s">
        <v>74</v>
      </c>
      <c r="BB314">
        <v>900</v>
      </c>
      <c r="BC314">
        <v>902</v>
      </c>
      <c r="BD314" t="s">
        <v>74</v>
      </c>
      <c r="BE314" t="s">
        <v>74</v>
      </c>
      <c r="BF314" t="s">
        <v>74</v>
      </c>
      <c r="BG314" t="s">
        <v>74</v>
      </c>
      <c r="BH314" t="s">
        <v>74</v>
      </c>
      <c r="BI314">
        <v>3</v>
      </c>
      <c r="BJ314" t="s">
        <v>548</v>
      </c>
      <c r="BK314" t="s">
        <v>94</v>
      </c>
      <c r="BL314" t="s">
        <v>549</v>
      </c>
      <c r="BM314" t="s">
        <v>4864</v>
      </c>
      <c r="BN314" t="s">
        <v>74</v>
      </c>
      <c r="BO314" t="s">
        <v>74</v>
      </c>
      <c r="BP314" t="s">
        <v>74</v>
      </c>
      <c r="BQ314" t="s">
        <v>74</v>
      </c>
      <c r="BR314" t="s">
        <v>97</v>
      </c>
      <c r="BS314" t="s">
        <v>4872</v>
      </c>
      <c r="BT314" t="str">
        <f>HYPERLINK("https%3A%2F%2Fwww.webofscience.com%2Fwos%2Fwoscc%2Ffull-record%2FWOS:000185019400030","View Full Record in Web of Science")</f>
        <v>View Full Record in Web of Science</v>
      </c>
    </row>
    <row r="315" spans="1:72" x14ac:dyDescent="0.15">
      <c r="A315" t="s">
        <v>72</v>
      </c>
      <c r="B315" t="s">
        <v>4873</v>
      </c>
      <c r="C315" t="s">
        <v>74</v>
      </c>
      <c r="D315" t="s">
        <v>74</v>
      </c>
      <c r="E315" t="s">
        <v>74</v>
      </c>
      <c r="F315" t="s">
        <v>4873</v>
      </c>
      <c r="G315" t="s">
        <v>74</v>
      </c>
      <c r="H315" t="s">
        <v>74</v>
      </c>
      <c r="I315" t="s">
        <v>4874</v>
      </c>
      <c r="J315" t="s">
        <v>4875</v>
      </c>
      <c r="K315" t="s">
        <v>74</v>
      </c>
      <c r="L315" t="s">
        <v>74</v>
      </c>
      <c r="M315" t="s">
        <v>77</v>
      </c>
      <c r="N315" t="s">
        <v>78</v>
      </c>
      <c r="O315" t="s">
        <v>74</v>
      </c>
      <c r="P315" t="s">
        <v>74</v>
      </c>
      <c r="Q315" t="s">
        <v>74</v>
      </c>
      <c r="R315" t="s">
        <v>74</v>
      </c>
      <c r="S315" t="s">
        <v>74</v>
      </c>
      <c r="T315" t="s">
        <v>74</v>
      </c>
      <c r="U315" t="s">
        <v>4876</v>
      </c>
      <c r="V315" t="s">
        <v>4877</v>
      </c>
      <c r="W315" t="s">
        <v>4878</v>
      </c>
      <c r="X315" t="s">
        <v>4879</v>
      </c>
      <c r="Y315" t="s">
        <v>4880</v>
      </c>
      <c r="Z315" t="s">
        <v>4881</v>
      </c>
      <c r="AA315" t="s">
        <v>4882</v>
      </c>
      <c r="AB315" t="s">
        <v>4883</v>
      </c>
      <c r="AC315" t="s">
        <v>74</v>
      </c>
      <c r="AD315" t="s">
        <v>74</v>
      </c>
      <c r="AE315" t="s">
        <v>74</v>
      </c>
      <c r="AF315" t="s">
        <v>74</v>
      </c>
      <c r="AG315">
        <v>54</v>
      </c>
      <c r="AH315">
        <v>19</v>
      </c>
      <c r="AI315">
        <v>23</v>
      </c>
      <c r="AJ315">
        <v>1</v>
      </c>
      <c r="AK315">
        <v>17</v>
      </c>
      <c r="AL315" t="s">
        <v>4346</v>
      </c>
      <c r="AM315" t="s">
        <v>540</v>
      </c>
      <c r="AN315" t="s">
        <v>4347</v>
      </c>
      <c r="AO315" t="s">
        <v>4884</v>
      </c>
      <c r="AP315" t="s">
        <v>74</v>
      </c>
      <c r="AQ315" t="s">
        <v>74</v>
      </c>
      <c r="AR315" t="s">
        <v>4885</v>
      </c>
      <c r="AS315" t="s">
        <v>4886</v>
      </c>
      <c r="AT315" t="s">
        <v>4714</v>
      </c>
      <c r="AU315">
        <v>2003</v>
      </c>
      <c r="AV315">
        <v>17</v>
      </c>
      <c r="AW315">
        <v>4</v>
      </c>
      <c r="AX315" t="s">
        <v>74</v>
      </c>
      <c r="AY315" t="s">
        <v>74</v>
      </c>
      <c r="AZ315" t="s">
        <v>74</v>
      </c>
      <c r="BA315" t="s">
        <v>74</v>
      </c>
      <c r="BB315">
        <v>1109</v>
      </c>
      <c r="BC315">
        <v>1118</v>
      </c>
      <c r="BD315" t="s">
        <v>74</v>
      </c>
      <c r="BE315" t="s">
        <v>4887</v>
      </c>
      <c r="BF315" t="str">
        <f>HYPERLINK("http://dx.doi.org/10.1021/ef0202283","http://dx.doi.org/10.1021/ef0202283")</f>
        <v>http://dx.doi.org/10.1021/ef0202283</v>
      </c>
      <c r="BG315" t="s">
        <v>74</v>
      </c>
      <c r="BH315" t="s">
        <v>74</v>
      </c>
      <c r="BI315">
        <v>10</v>
      </c>
      <c r="BJ315" t="s">
        <v>4888</v>
      </c>
      <c r="BK315" t="s">
        <v>94</v>
      </c>
      <c r="BL315" t="s">
        <v>4889</v>
      </c>
      <c r="BM315" t="s">
        <v>4890</v>
      </c>
      <c r="BN315" t="s">
        <v>74</v>
      </c>
      <c r="BO315" t="s">
        <v>74</v>
      </c>
      <c r="BP315" t="s">
        <v>74</v>
      </c>
      <c r="BQ315" t="s">
        <v>74</v>
      </c>
      <c r="BR315" t="s">
        <v>97</v>
      </c>
      <c r="BS315" t="s">
        <v>4891</v>
      </c>
      <c r="BT315" t="str">
        <f>HYPERLINK("https%3A%2F%2Fwww.webofscience.com%2Fwos%2Fwoscc%2Ffull-record%2FWOS:000184281400046","View Full Record in Web of Science")</f>
        <v>View Full Record in Web of Science</v>
      </c>
    </row>
    <row r="316" spans="1:72" x14ac:dyDescent="0.15">
      <c r="A316" t="s">
        <v>72</v>
      </c>
      <c r="B316" t="s">
        <v>4892</v>
      </c>
      <c r="C316" t="s">
        <v>74</v>
      </c>
      <c r="D316" t="s">
        <v>74</v>
      </c>
      <c r="E316" t="s">
        <v>74</v>
      </c>
      <c r="F316" t="s">
        <v>4892</v>
      </c>
      <c r="G316" t="s">
        <v>74</v>
      </c>
      <c r="H316" t="s">
        <v>74</v>
      </c>
      <c r="I316" t="s">
        <v>4893</v>
      </c>
      <c r="J316" t="s">
        <v>4894</v>
      </c>
      <c r="K316" t="s">
        <v>74</v>
      </c>
      <c r="L316" t="s">
        <v>74</v>
      </c>
      <c r="M316" t="s">
        <v>77</v>
      </c>
      <c r="N316" t="s">
        <v>78</v>
      </c>
      <c r="O316" t="s">
        <v>74</v>
      </c>
      <c r="P316" t="s">
        <v>74</v>
      </c>
      <c r="Q316" t="s">
        <v>74</v>
      </c>
      <c r="R316" t="s">
        <v>74</v>
      </c>
      <c r="S316" t="s">
        <v>74</v>
      </c>
      <c r="T316" t="s">
        <v>74</v>
      </c>
      <c r="U316" t="s">
        <v>4895</v>
      </c>
      <c r="V316" t="s">
        <v>4896</v>
      </c>
      <c r="W316" t="s">
        <v>705</v>
      </c>
      <c r="X316" t="s">
        <v>706</v>
      </c>
      <c r="Y316" t="s">
        <v>4897</v>
      </c>
      <c r="Z316" t="s">
        <v>74</v>
      </c>
      <c r="AA316" t="s">
        <v>3135</v>
      </c>
      <c r="AB316" t="s">
        <v>74</v>
      </c>
      <c r="AC316" t="s">
        <v>74</v>
      </c>
      <c r="AD316" t="s">
        <v>74</v>
      </c>
      <c r="AE316" t="s">
        <v>74</v>
      </c>
      <c r="AF316" t="s">
        <v>74</v>
      </c>
      <c r="AG316">
        <v>47</v>
      </c>
      <c r="AH316">
        <v>134</v>
      </c>
      <c r="AI316">
        <v>154</v>
      </c>
      <c r="AJ316">
        <v>1</v>
      </c>
      <c r="AK316">
        <v>33</v>
      </c>
      <c r="AL316" t="s">
        <v>289</v>
      </c>
      <c r="AM316" t="s">
        <v>170</v>
      </c>
      <c r="AN316" t="s">
        <v>290</v>
      </c>
      <c r="AO316" t="s">
        <v>4898</v>
      </c>
      <c r="AP316" t="s">
        <v>74</v>
      </c>
      <c r="AQ316" t="s">
        <v>74</v>
      </c>
      <c r="AR316" t="s">
        <v>4899</v>
      </c>
      <c r="AS316" t="s">
        <v>4900</v>
      </c>
      <c r="AT316" t="s">
        <v>4604</v>
      </c>
      <c r="AU316">
        <v>2003</v>
      </c>
      <c r="AV316">
        <v>5</v>
      </c>
      <c r="AW316">
        <v>7</v>
      </c>
      <c r="AX316" t="s">
        <v>74</v>
      </c>
      <c r="AY316" t="s">
        <v>74</v>
      </c>
      <c r="AZ316" t="s">
        <v>74</v>
      </c>
      <c r="BA316" t="s">
        <v>74</v>
      </c>
      <c r="BB316">
        <v>555</v>
      </c>
      <c r="BC316">
        <v>565</v>
      </c>
      <c r="BD316" t="s">
        <v>74</v>
      </c>
      <c r="BE316" t="s">
        <v>4901</v>
      </c>
      <c r="BF316" t="str">
        <f>HYPERLINK("http://dx.doi.org/10.1046/j.1462-2920.2003.00439.x","http://dx.doi.org/10.1046/j.1462-2920.2003.00439.x")</f>
        <v>http://dx.doi.org/10.1046/j.1462-2920.2003.00439.x</v>
      </c>
      <c r="BG316" t="s">
        <v>74</v>
      </c>
      <c r="BH316" t="s">
        <v>74</v>
      </c>
      <c r="BI316">
        <v>11</v>
      </c>
      <c r="BJ316" t="s">
        <v>1912</v>
      </c>
      <c r="BK316" t="s">
        <v>94</v>
      </c>
      <c r="BL316" t="s">
        <v>1912</v>
      </c>
      <c r="BM316" t="s">
        <v>4902</v>
      </c>
      <c r="BN316">
        <v>12823188</v>
      </c>
      <c r="BO316" t="s">
        <v>74</v>
      </c>
      <c r="BP316" t="s">
        <v>74</v>
      </c>
      <c r="BQ316" t="s">
        <v>74</v>
      </c>
      <c r="BR316" t="s">
        <v>97</v>
      </c>
      <c r="BS316" t="s">
        <v>4903</v>
      </c>
      <c r="BT316" t="str">
        <f>HYPERLINK("https%3A%2F%2Fwww.webofscience.com%2Fwos%2Fwoscc%2Ffull-record%2FWOS:000183640700003","View Full Record in Web of Science")</f>
        <v>View Full Record in Web of Science</v>
      </c>
    </row>
    <row r="317" spans="1:72" x14ac:dyDescent="0.15">
      <c r="A317" t="s">
        <v>72</v>
      </c>
      <c r="B317" t="s">
        <v>4904</v>
      </c>
      <c r="C317" t="s">
        <v>74</v>
      </c>
      <c r="D317" t="s">
        <v>74</v>
      </c>
      <c r="E317" t="s">
        <v>74</v>
      </c>
      <c r="F317" t="s">
        <v>4904</v>
      </c>
      <c r="G317" t="s">
        <v>74</v>
      </c>
      <c r="H317" t="s">
        <v>74</v>
      </c>
      <c r="I317" t="s">
        <v>4905</v>
      </c>
      <c r="J317" t="s">
        <v>4894</v>
      </c>
      <c r="K317" t="s">
        <v>74</v>
      </c>
      <c r="L317" t="s">
        <v>74</v>
      </c>
      <c r="M317" t="s">
        <v>77</v>
      </c>
      <c r="N317" t="s">
        <v>78</v>
      </c>
      <c r="O317" t="s">
        <v>74</v>
      </c>
      <c r="P317" t="s">
        <v>74</v>
      </c>
      <c r="Q317" t="s">
        <v>74</v>
      </c>
      <c r="R317" t="s">
        <v>74</v>
      </c>
      <c r="S317" t="s">
        <v>74</v>
      </c>
      <c r="T317" t="s">
        <v>74</v>
      </c>
      <c r="U317" t="s">
        <v>4906</v>
      </c>
      <c r="V317" t="s">
        <v>4907</v>
      </c>
      <c r="W317" t="s">
        <v>4908</v>
      </c>
      <c r="X317" t="s">
        <v>4909</v>
      </c>
      <c r="Y317" t="s">
        <v>4910</v>
      </c>
      <c r="Z317" t="s">
        <v>74</v>
      </c>
      <c r="AA317" t="s">
        <v>74</v>
      </c>
      <c r="AB317" t="s">
        <v>74</v>
      </c>
      <c r="AC317" t="s">
        <v>74</v>
      </c>
      <c r="AD317" t="s">
        <v>74</v>
      </c>
      <c r="AE317" t="s">
        <v>74</v>
      </c>
      <c r="AF317" t="s">
        <v>74</v>
      </c>
      <c r="AG317">
        <v>52</v>
      </c>
      <c r="AH317">
        <v>66</v>
      </c>
      <c r="AI317">
        <v>78</v>
      </c>
      <c r="AJ317">
        <v>2</v>
      </c>
      <c r="AK317">
        <v>19</v>
      </c>
      <c r="AL317" t="s">
        <v>289</v>
      </c>
      <c r="AM317" t="s">
        <v>170</v>
      </c>
      <c r="AN317" t="s">
        <v>290</v>
      </c>
      <c r="AO317" t="s">
        <v>4898</v>
      </c>
      <c r="AP317" t="s">
        <v>74</v>
      </c>
      <c r="AQ317" t="s">
        <v>74</v>
      </c>
      <c r="AR317" t="s">
        <v>4899</v>
      </c>
      <c r="AS317" t="s">
        <v>4900</v>
      </c>
      <c r="AT317" t="s">
        <v>4604</v>
      </c>
      <c r="AU317">
        <v>2003</v>
      </c>
      <c r="AV317">
        <v>5</v>
      </c>
      <c r="AW317">
        <v>7</v>
      </c>
      <c r="AX317" t="s">
        <v>74</v>
      </c>
      <c r="AY317" t="s">
        <v>74</v>
      </c>
      <c r="AZ317" t="s">
        <v>74</v>
      </c>
      <c r="BA317" t="s">
        <v>74</v>
      </c>
      <c r="BB317">
        <v>618</v>
      </c>
      <c r="BC317">
        <v>627</v>
      </c>
      <c r="BD317" t="s">
        <v>74</v>
      </c>
      <c r="BE317" t="s">
        <v>4911</v>
      </c>
      <c r="BF317" t="str">
        <f>HYPERLINK("http://dx.doi.org/10.1046/j.1462-2920.2003.00453.x","http://dx.doi.org/10.1046/j.1462-2920.2003.00453.x")</f>
        <v>http://dx.doi.org/10.1046/j.1462-2920.2003.00453.x</v>
      </c>
      <c r="BG317" t="s">
        <v>74</v>
      </c>
      <c r="BH317" t="s">
        <v>74</v>
      </c>
      <c r="BI317">
        <v>10</v>
      </c>
      <c r="BJ317" t="s">
        <v>1912</v>
      </c>
      <c r="BK317" t="s">
        <v>94</v>
      </c>
      <c r="BL317" t="s">
        <v>1912</v>
      </c>
      <c r="BM317" t="s">
        <v>4902</v>
      </c>
      <c r="BN317">
        <v>12823194</v>
      </c>
      <c r="BO317" t="s">
        <v>74</v>
      </c>
      <c r="BP317" t="s">
        <v>74</v>
      </c>
      <c r="BQ317" t="s">
        <v>74</v>
      </c>
      <c r="BR317" t="s">
        <v>97</v>
      </c>
      <c r="BS317" t="s">
        <v>4912</v>
      </c>
      <c r="BT317" t="str">
        <f>HYPERLINK("https%3A%2F%2Fwww.webofscience.com%2Fwos%2Fwoscc%2Ffull-record%2FWOS:000183640700009","View Full Record in Web of Science")</f>
        <v>View Full Record in Web of Science</v>
      </c>
    </row>
    <row r="318" spans="1:72" x14ac:dyDescent="0.15">
      <c r="A318" t="s">
        <v>72</v>
      </c>
      <c r="B318" t="s">
        <v>4913</v>
      </c>
      <c r="C318" t="s">
        <v>74</v>
      </c>
      <c r="D318" t="s">
        <v>74</v>
      </c>
      <c r="E318" t="s">
        <v>74</v>
      </c>
      <c r="F318" t="s">
        <v>4913</v>
      </c>
      <c r="G318" t="s">
        <v>74</v>
      </c>
      <c r="H318" t="s">
        <v>74</v>
      </c>
      <c r="I318" t="s">
        <v>4914</v>
      </c>
      <c r="J318" t="s">
        <v>4162</v>
      </c>
      <c r="K318" t="s">
        <v>74</v>
      </c>
      <c r="L318" t="s">
        <v>74</v>
      </c>
      <c r="M318" t="s">
        <v>77</v>
      </c>
      <c r="N318" t="s">
        <v>78</v>
      </c>
      <c r="O318" t="s">
        <v>74</v>
      </c>
      <c r="P318" t="s">
        <v>74</v>
      </c>
      <c r="Q318" t="s">
        <v>74</v>
      </c>
      <c r="R318" t="s">
        <v>74</v>
      </c>
      <c r="S318" t="s">
        <v>74</v>
      </c>
      <c r="T318" t="s">
        <v>4915</v>
      </c>
      <c r="U318" t="s">
        <v>4916</v>
      </c>
      <c r="V318" t="s">
        <v>4917</v>
      </c>
      <c r="W318" t="s">
        <v>4918</v>
      </c>
      <c r="X318" t="s">
        <v>4919</v>
      </c>
      <c r="Y318" t="s">
        <v>4920</v>
      </c>
      <c r="Z318" t="s">
        <v>4921</v>
      </c>
      <c r="AA318" t="s">
        <v>4922</v>
      </c>
      <c r="AB318" t="s">
        <v>4923</v>
      </c>
      <c r="AC318" t="s">
        <v>74</v>
      </c>
      <c r="AD318" t="s">
        <v>74</v>
      </c>
      <c r="AE318" t="s">
        <v>74</v>
      </c>
      <c r="AF318" t="s">
        <v>74</v>
      </c>
      <c r="AG318">
        <v>63</v>
      </c>
      <c r="AH318">
        <v>77</v>
      </c>
      <c r="AI318">
        <v>94</v>
      </c>
      <c r="AJ318">
        <v>2</v>
      </c>
      <c r="AK318">
        <v>20</v>
      </c>
      <c r="AL318" t="s">
        <v>188</v>
      </c>
      <c r="AM318" t="s">
        <v>170</v>
      </c>
      <c r="AN318" t="s">
        <v>189</v>
      </c>
      <c r="AO318" t="s">
        <v>4171</v>
      </c>
      <c r="AP318" t="s">
        <v>4924</v>
      </c>
      <c r="AQ318" t="s">
        <v>74</v>
      </c>
      <c r="AR318" t="s">
        <v>4172</v>
      </c>
      <c r="AS318" t="s">
        <v>4173</v>
      </c>
      <c r="AT318" t="s">
        <v>4925</v>
      </c>
      <c r="AU318">
        <v>2003</v>
      </c>
      <c r="AV318">
        <v>45</v>
      </c>
      <c r="AW318">
        <v>1</v>
      </c>
      <c r="AX318" t="s">
        <v>74</v>
      </c>
      <c r="AY318" t="s">
        <v>74</v>
      </c>
      <c r="AZ318" t="s">
        <v>74</v>
      </c>
      <c r="BA318" t="s">
        <v>74</v>
      </c>
      <c r="BB318">
        <v>59</v>
      </c>
      <c r="BC318">
        <v>70</v>
      </c>
      <c r="BD318" t="s">
        <v>74</v>
      </c>
      <c r="BE318" t="s">
        <v>4926</v>
      </c>
      <c r="BF318" t="str">
        <f>HYPERLINK("http://dx.doi.org/10.1016/S0168-6496(03)00110-7","http://dx.doi.org/10.1016/S0168-6496(03)00110-7")</f>
        <v>http://dx.doi.org/10.1016/S0168-6496(03)00110-7</v>
      </c>
      <c r="BG318" t="s">
        <v>74</v>
      </c>
      <c r="BH318" t="s">
        <v>74</v>
      </c>
      <c r="BI318">
        <v>12</v>
      </c>
      <c r="BJ318" t="s">
        <v>1912</v>
      </c>
      <c r="BK318" t="s">
        <v>94</v>
      </c>
      <c r="BL318" t="s">
        <v>1912</v>
      </c>
      <c r="BM318" t="s">
        <v>4927</v>
      </c>
      <c r="BN318">
        <v>19719607</v>
      </c>
      <c r="BO318" t="s">
        <v>96</v>
      </c>
      <c r="BP318" t="s">
        <v>74</v>
      </c>
      <c r="BQ318" t="s">
        <v>74</v>
      </c>
      <c r="BR318" t="s">
        <v>97</v>
      </c>
      <c r="BS318" t="s">
        <v>4928</v>
      </c>
      <c r="BT318" t="str">
        <f>HYPERLINK("https%3A%2F%2Fwww.webofscience.com%2Fwos%2Fwoscc%2Ffull-record%2FWOS:000183744300007","View Full Record in Web of Science")</f>
        <v>View Full Record in Web of Science</v>
      </c>
    </row>
    <row r="319" spans="1:72" x14ac:dyDescent="0.15">
      <c r="A319" t="s">
        <v>72</v>
      </c>
      <c r="B319" t="s">
        <v>4929</v>
      </c>
      <c r="C319" t="s">
        <v>74</v>
      </c>
      <c r="D319" t="s">
        <v>74</v>
      </c>
      <c r="E319" t="s">
        <v>74</v>
      </c>
      <c r="F319" t="s">
        <v>4929</v>
      </c>
      <c r="G319" t="s">
        <v>74</v>
      </c>
      <c r="H319" t="s">
        <v>74</v>
      </c>
      <c r="I319" t="s">
        <v>4930</v>
      </c>
      <c r="J319" t="s">
        <v>4931</v>
      </c>
      <c r="K319" t="s">
        <v>74</v>
      </c>
      <c r="L319" t="s">
        <v>74</v>
      </c>
      <c r="M319" t="s">
        <v>77</v>
      </c>
      <c r="N319" t="s">
        <v>78</v>
      </c>
      <c r="O319" t="s">
        <v>74</v>
      </c>
      <c r="P319" t="s">
        <v>74</v>
      </c>
      <c r="Q319" t="s">
        <v>74</v>
      </c>
      <c r="R319" t="s">
        <v>74</v>
      </c>
      <c r="S319" t="s">
        <v>74</v>
      </c>
      <c r="T319" t="s">
        <v>74</v>
      </c>
      <c r="U319" t="s">
        <v>4932</v>
      </c>
      <c r="V319" t="s">
        <v>4933</v>
      </c>
      <c r="W319" t="s">
        <v>4934</v>
      </c>
      <c r="X319" t="s">
        <v>4935</v>
      </c>
      <c r="Y319" t="s">
        <v>4936</v>
      </c>
      <c r="Z319" t="s">
        <v>74</v>
      </c>
      <c r="AA319" t="s">
        <v>4937</v>
      </c>
      <c r="AB319" t="s">
        <v>4938</v>
      </c>
      <c r="AC319" t="s">
        <v>74</v>
      </c>
      <c r="AD319" t="s">
        <v>74</v>
      </c>
      <c r="AE319" t="s">
        <v>74</v>
      </c>
      <c r="AF319" t="s">
        <v>74</v>
      </c>
      <c r="AG319">
        <v>57</v>
      </c>
      <c r="AH319">
        <v>197</v>
      </c>
      <c r="AI319">
        <v>224</v>
      </c>
      <c r="AJ319">
        <v>9</v>
      </c>
      <c r="AK319">
        <v>49</v>
      </c>
      <c r="AL319" t="s">
        <v>4939</v>
      </c>
      <c r="AM319" t="s">
        <v>4940</v>
      </c>
      <c r="AN319" t="s">
        <v>4941</v>
      </c>
      <c r="AO319" t="s">
        <v>4942</v>
      </c>
      <c r="AP319" t="s">
        <v>74</v>
      </c>
      <c r="AQ319" t="s">
        <v>74</v>
      </c>
      <c r="AR319" t="s">
        <v>4943</v>
      </c>
      <c r="AS319" t="s">
        <v>4944</v>
      </c>
      <c r="AT319" t="s">
        <v>4604</v>
      </c>
      <c r="AU319">
        <v>2003</v>
      </c>
      <c r="AV319">
        <v>13</v>
      </c>
      <c r="AW319">
        <v>7</v>
      </c>
      <c r="AX319" t="s">
        <v>74</v>
      </c>
      <c r="AY319" t="s">
        <v>74</v>
      </c>
      <c r="AZ319" t="s">
        <v>74</v>
      </c>
      <c r="BA319" t="s">
        <v>74</v>
      </c>
      <c r="BB319">
        <v>1580</v>
      </c>
      <c r="BC319">
        <v>1588</v>
      </c>
      <c r="BD319" t="s">
        <v>74</v>
      </c>
      <c r="BE319" t="s">
        <v>4945</v>
      </c>
      <c r="BF319" t="str">
        <f>HYPERLINK("http://dx.doi.org/10.1101/gr.1180903","http://dx.doi.org/10.1101/gr.1180903")</f>
        <v>http://dx.doi.org/10.1101/gr.1180903</v>
      </c>
      <c r="BG319" t="s">
        <v>74</v>
      </c>
      <c r="BH319" t="s">
        <v>74</v>
      </c>
      <c r="BI319">
        <v>9</v>
      </c>
      <c r="BJ319" t="s">
        <v>4756</v>
      </c>
      <c r="BK319" t="s">
        <v>94</v>
      </c>
      <c r="BL319" t="s">
        <v>4756</v>
      </c>
      <c r="BM319" t="s">
        <v>4946</v>
      </c>
      <c r="BN319">
        <v>12805271</v>
      </c>
      <c r="BO319" t="s">
        <v>4947</v>
      </c>
      <c r="BP319" t="s">
        <v>74</v>
      </c>
      <c r="BQ319" t="s">
        <v>74</v>
      </c>
      <c r="BR319" t="s">
        <v>97</v>
      </c>
      <c r="BS319" t="s">
        <v>4948</v>
      </c>
      <c r="BT319" t="str">
        <f>HYPERLINK("https%3A%2F%2Fwww.webofscience.com%2Fwos%2Fwoscc%2Ffull-record%2FWOS:000183970000003","View Full Record in Web of Science")</f>
        <v>View Full Record in Web of Science</v>
      </c>
    </row>
    <row r="320" spans="1:72" x14ac:dyDescent="0.15">
      <c r="A320" t="s">
        <v>72</v>
      </c>
      <c r="B320" t="s">
        <v>4949</v>
      </c>
      <c r="C320" t="s">
        <v>74</v>
      </c>
      <c r="D320" t="s">
        <v>74</v>
      </c>
      <c r="E320" t="s">
        <v>74</v>
      </c>
      <c r="F320" t="s">
        <v>4949</v>
      </c>
      <c r="G320" t="s">
        <v>74</v>
      </c>
      <c r="H320" t="s">
        <v>74</v>
      </c>
      <c r="I320" t="s">
        <v>4950</v>
      </c>
      <c r="J320" t="s">
        <v>1781</v>
      </c>
      <c r="K320" t="s">
        <v>74</v>
      </c>
      <c r="L320" t="s">
        <v>74</v>
      </c>
      <c r="M320" t="s">
        <v>77</v>
      </c>
      <c r="N320" t="s">
        <v>78</v>
      </c>
      <c r="O320" t="s">
        <v>74</v>
      </c>
      <c r="P320" t="s">
        <v>74</v>
      </c>
      <c r="Q320" t="s">
        <v>74</v>
      </c>
      <c r="R320" t="s">
        <v>74</v>
      </c>
      <c r="S320" t="s">
        <v>74</v>
      </c>
      <c r="T320" t="s">
        <v>74</v>
      </c>
      <c r="U320" t="s">
        <v>4951</v>
      </c>
      <c r="V320" t="s">
        <v>4952</v>
      </c>
      <c r="W320" t="s">
        <v>4953</v>
      </c>
      <c r="X320" t="s">
        <v>4954</v>
      </c>
      <c r="Y320" t="s">
        <v>4955</v>
      </c>
      <c r="Z320" t="s">
        <v>74</v>
      </c>
      <c r="AA320" t="s">
        <v>74</v>
      </c>
      <c r="AB320" t="s">
        <v>74</v>
      </c>
      <c r="AC320" t="s">
        <v>74</v>
      </c>
      <c r="AD320" t="s">
        <v>74</v>
      </c>
      <c r="AE320" t="s">
        <v>74</v>
      </c>
      <c r="AF320" t="s">
        <v>74</v>
      </c>
      <c r="AG320">
        <v>20</v>
      </c>
      <c r="AH320">
        <v>0</v>
      </c>
      <c r="AI320">
        <v>0</v>
      </c>
      <c r="AJ320">
        <v>0</v>
      </c>
      <c r="AK320">
        <v>3</v>
      </c>
      <c r="AL320" t="s">
        <v>1789</v>
      </c>
      <c r="AM320" t="s">
        <v>1790</v>
      </c>
      <c r="AN320" t="s">
        <v>1791</v>
      </c>
      <c r="AO320" t="s">
        <v>1792</v>
      </c>
      <c r="AP320" t="s">
        <v>74</v>
      </c>
      <c r="AQ320" t="s">
        <v>74</v>
      </c>
      <c r="AR320" t="s">
        <v>1793</v>
      </c>
      <c r="AS320" t="s">
        <v>1794</v>
      </c>
      <c r="AT320" t="s">
        <v>4714</v>
      </c>
      <c r="AU320">
        <v>2003</v>
      </c>
      <c r="AV320">
        <v>43</v>
      </c>
      <c r="AW320">
        <v>4</v>
      </c>
      <c r="AX320" t="s">
        <v>74</v>
      </c>
      <c r="AY320" t="s">
        <v>74</v>
      </c>
      <c r="AZ320" t="s">
        <v>74</v>
      </c>
      <c r="BA320" t="s">
        <v>74</v>
      </c>
      <c r="BB320">
        <v>440</v>
      </c>
      <c r="BC320">
        <v>448</v>
      </c>
      <c r="BD320" t="s">
        <v>74</v>
      </c>
      <c r="BE320" t="s">
        <v>74</v>
      </c>
      <c r="BF320" t="s">
        <v>74</v>
      </c>
      <c r="BG320" t="s">
        <v>74</v>
      </c>
      <c r="BH320" t="s">
        <v>74</v>
      </c>
      <c r="BI320">
        <v>9</v>
      </c>
      <c r="BJ320" t="s">
        <v>176</v>
      </c>
      <c r="BK320" t="s">
        <v>94</v>
      </c>
      <c r="BL320" t="s">
        <v>176</v>
      </c>
      <c r="BM320" t="s">
        <v>4956</v>
      </c>
      <c r="BN320" t="s">
        <v>74</v>
      </c>
      <c r="BO320" t="s">
        <v>74</v>
      </c>
      <c r="BP320" t="s">
        <v>74</v>
      </c>
      <c r="BQ320" t="s">
        <v>74</v>
      </c>
      <c r="BR320" t="s">
        <v>97</v>
      </c>
      <c r="BS320" t="s">
        <v>4957</v>
      </c>
      <c r="BT320" t="str">
        <f>HYPERLINK("https%3A%2F%2Fwww.webofscience.com%2Fwos%2Fwoscc%2Ffull-record%2FWOS:000185017800006","View Full Record in Web of Science")</f>
        <v>View Full Record in Web of Science</v>
      </c>
    </row>
    <row r="321" spans="1:72" x14ac:dyDescent="0.15">
      <c r="A321" t="s">
        <v>72</v>
      </c>
      <c r="B321" t="s">
        <v>4958</v>
      </c>
      <c r="C321" t="s">
        <v>74</v>
      </c>
      <c r="D321" t="s">
        <v>74</v>
      </c>
      <c r="E321" t="s">
        <v>74</v>
      </c>
      <c r="F321" t="s">
        <v>4958</v>
      </c>
      <c r="G321" t="s">
        <v>74</v>
      </c>
      <c r="H321" t="s">
        <v>74</v>
      </c>
      <c r="I321" t="s">
        <v>4959</v>
      </c>
      <c r="J321" t="s">
        <v>4960</v>
      </c>
      <c r="K321" t="s">
        <v>74</v>
      </c>
      <c r="L321" t="s">
        <v>74</v>
      </c>
      <c r="M321" t="s">
        <v>77</v>
      </c>
      <c r="N321" t="s">
        <v>78</v>
      </c>
      <c r="O321" t="s">
        <v>74</v>
      </c>
      <c r="P321" t="s">
        <v>74</v>
      </c>
      <c r="Q321" t="s">
        <v>74</v>
      </c>
      <c r="R321" t="s">
        <v>74</v>
      </c>
      <c r="S321" t="s">
        <v>74</v>
      </c>
      <c r="T321" t="s">
        <v>4961</v>
      </c>
      <c r="U321" t="s">
        <v>4962</v>
      </c>
      <c r="V321" t="s">
        <v>4963</v>
      </c>
      <c r="W321" t="s">
        <v>4964</v>
      </c>
      <c r="X321" t="s">
        <v>4965</v>
      </c>
      <c r="Y321" t="s">
        <v>1214</v>
      </c>
      <c r="Z321" t="s">
        <v>1215</v>
      </c>
      <c r="AA321" t="s">
        <v>986</v>
      </c>
      <c r="AB321" t="s">
        <v>987</v>
      </c>
      <c r="AC321" t="s">
        <v>74</v>
      </c>
      <c r="AD321" t="s">
        <v>74</v>
      </c>
      <c r="AE321" t="s">
        <v>74</v>
      </c>
      <c r="AF321" t="s">
        <v>74</v>
      </c>
      <c r="AG321">
        <v>41</v>
      </c>
      <c r="AH321">
        <v>29</v>
      </c>
      <c r="AI321">
        <v>29</v>
      </c>
      <c r="AJ321">
        <v>1</v>
      </c>
      <c r="AK321">
        <v>5</v>
      </c>
      <c r="AL321" t="s">
        <v>781</v>
      </c>
      <c r="AM321" t="s">
        <v>111</v>
      </c>
      <c r="AN321" t="s">
        <v>782</v>
      </c>
      <c r="AO321" t="s">
        <v>4966</v>
      </c>
      <c r="AP321" t="s">
        <v>4967</v>
      </c>
      <c r="AQ321" t="s">
        <v>74</v>
      </c>
      <c r="AR321" t="s">
        <v>4968</v>
      </c>
      <c r="AS321" t="s">
        <v>4969</v>
      </c>
      <c r="AT321" t="s">
        <v>4604</v>
      </c>
      <c r="AU321">
        <v>2003</v>
      </c>
      <c r="AV321">
        <v>6</v>
      </c>
      <c r="AW321">
        <v>3</v>
      </c>
      <c r="AX321" t="s">
        <v>74</v>
      </c>
      <c r="AY321" t="s">
        <v>74</v>
      </c>
      <c r="AZ321" t="s">
        <v>74</v>
      </c>
      <c r="BA321" t="s">
        <v>74</v>
      </c>
      <c r="BB321">
        <v>449</v>
      </c>
      <c r="BC321">
        <v>465</v>
      </c>
      <c r="BD321" t="s">
        <v>74</v>
      </c>
      <c r="BE321" t="s">
        <v>4970</v>
      </c>
      <c r="BF321" t="str">
        <f>HYPERLINK("http://dx.doi.org/10.1016/S1342-937X(05)70998-9","http://dx.doi.org/10.1016/S1342-937X(05)70998-9")</f>
        <v>http://dx.doi.org/10.1016/S1342-937X(05)70998-9</v>
      </c>
      <c r="BG321" t="s">
        <v>74</v>
      </c>
      <c r="BH321" t="s">
        <v>74</v>
      </c>
      <c r="BI321">
        <v>17</v>
      </c>
      <c r="BJ321" t="s">
        <v>548</v>
      </c>
      <c r="BK321" t="s">
        <v>94</v>
      </c>
      <c r="BL321" t="s">
        <v>549</v>
      </c>
      <c r="BM321" t="s">
        <v>4971</v>
      </c>
      <c r="BN321" t="s">
        <v>74</v>
      </c>
      <c r="BO321" t="s">
        <v>74</v>
      </c>
      <c r="BP321" t="s">
        <v>74</v>
      </c>
      <c r="BQ321" t="s">
        <v>74</v>
      </c>
      <c r="BR321" t="s">
        <v>97</v>
      </c>
      <c r="BS321" t="s">
        <v>4972</v>
      </c>
      <c r="BT321" t="str">
        <f>HYPERLINK("https%3A%2F%2Fwww.webofscience.com%2Fwos%2Fwoscc%2Ffull-record%2FWOS:000183936100008","View Full Record in Web of Science")</f>
        <v>View Full Record in Web of Science</v>
      </c>
    </row>
    <row r="322" spans="1:72" x14ac:dyDescent="0.15">
      <c r="A322" t="s">
        <v>72</v>
      </c>
      <c r="B322" t="s">
        <v>4973</v>
      </c>
      <c r="C322" t="s">
        <v>74</v>
      </c>
      <c r="D322" t="s">
        <v>74</v>
      </c>
      <c r="E322" t="s">
        <v>74</v>
      </c>
      <c r="F322" t="s">
        <v>4973</v>
      </c>
      <c r="G322" t="s">
        <v>74</v>
      </c>
      <c r="H322" t="s">
        <v>74</v>
      </c>
      <c r="I322" t="s">
        <v>4974</v>
      </c>
      <c r="J322" t="s">
        <v>4975</v>
      </c>
      <c r="K322" t="s">
        <v>74</v>
      </c>
      <c r="L322" t="s">
        <v>74</v>
      </c>
      <c r="M322" t="s">
        <v>77</v>
      </c>
      <c r="N322" t="s">
        <v>78</v>
      </c>
      <c r="O322" t="s">
        <v>74</v>
      </c>
      <c r="P322" t="s">
        <v>74</v>
      </c>
      <c r="Q322" t="s">
        <v>74</v>
      </c>
      <c r="R322" t="s">
        <v>74</v>
      </c>
      <c r="S322" t="s">
        <v>74</v>
      </c>
      <c r="T322" t="s">
        <v>4976</v>
      </c>
      <c r="U322" t="s">
        <v>4977</v>
      </c>
      <c r="V322" t="s">
        <v>4978</v>
      </c>
      <c r="W322" t="s">
        <v>4979</v>
      </c>
      <c r="X322" t="s">
        <v>4980</v>
      </c>
      <c r="Y322" t="s">
        <v>4981</v>
      </c>
      <c r="Z322" t="s">
        <v>4982</v>
      </c>
      <c r="AA322" t="s">
        <v>4983</v>
      </c>
      <c r="AB322" t="s">
        <v>4984</v>
      </c>
      <c r="AC322" t="s">
        <v>74</v>
      </c>
      <c r="AD322" t="s">
        <v>74</v>
      </c>
      <c r="AE322" t="s">
        <v>74</v>
      </c>
      <c r="AF322" t="s">
        <v>74</v>
      </c>
      <c r="AG322">
        <v>37</v>
      </c>
      <c r="AH322">
        <v>130</v>
      </c>
      <c r="AI322">
        <v>143</v>
      </c>
      <c r="AJ322">
        <v>0</v>
      </c>
      <c r="AK322">
        <v>19</v>
      </c>
      <c r="AL322" t="s">
        <v>4985</v>
      </c>
      <c r="AM322" t="s">
        <v>964</v>
      </c>
      <c r="AN322" t="s">
        <v>4986</v>
      </c>
      <c r="AO322" t="s">
        <v>4987</v>
      </c>
      <c r="AP322" t="s">
        <v>4988</v>
      </c>
      <c r="AQ322" t="s">
        <v>74</v>
      </c>
      <c r="AR322" t="s">
        <v>4975</v>
      </c>
      <c r="AS322" t="s">
        <v>4989</v>
      </c>
      <c r="AT322" t="s">
        <v>4604</v>
      </c>
      <c r="AU322">
        <v>2003</v>
      </c>
      <c r="AV322">
        <v>13</v>
      </c>
      <c r="AW322">
        <v>4</v>
      </c>
      <c r="AX322" t="s">
        <v>74</v>
      </c>
      <c r="AY322" t="s">
        <v>74</v>
      </c>
      <c r="AZ322" t="s">
        <v>74</v>
      </c>
      <c r="BA322" t="s">
        <v>74</v>
      </c>
      <c r="BB322">
        <v>581</v>
      </c>
      <c r="BC322">
        <v>591</v>
      </c>
      <c r="BD322" t="s">
        <v>74</v>
      </c>
      <c r="BE322" t="s">
        <v>4990</v>
      </c>
      <c r="BF322" t="str">
        <f>HYPERLINK("http://dx.doi.org/10.1191/0959683603hl648rp","http://dx.doi.org/10.1191/0959683603hl648rp")</f>
        <v>http://dx.doi.org/10.1191/0959683603hl648rp</v>
      </c>
      <c r="BG322" t="s">
        <v>74</v>
      </c>
      <c r="BH322" t="s">
        <v>74</v>
      </c>
      <c r="BI322">
        <v>11</v>
      </c>
      <c r="BJ322" t="s">
        <v>1433</v>
      </c>
      <c r="BK322" t="s">
        <v>94</v>
      </c>
      <c r="BL322" t="s">
        <v>1434</v>
      </c>
      <c r="BM322" t="s">
        <v>4991</v>
      </c>
      <c r="BN322" t="s">
        <v>74</v>
      </c>
      <c r="BO322" t="s">
        <v>74</v>
      </c>
      <c r="BP322" t="s">
        <v>74</v>
      </c>
      <c r="BQ322" t="s">
        <v>74</v>
      </c>
      <c r="BR322" t="s">
        <v>97</v>
      </c>
      <c r="BS322" t="s">
        <v>4992</v>
      </c>
      <c r="BT322" t="str">
        <f>HYPERLINK("https%3A%2F%2Fwww.webofscience.com%2Fwos%2Fwoscc%2Ffull-record%2FWOS:000183579300012","View Full Record in Web of Science")</f>
        <v>View Full Record in Web of Science</v>
      </c>
    </row>
    <row r="323" spans="1:72" x14ac:dyDescent="0.15">
      <c r="A323" t="s">
        <v>72</v>
      </c>
      <c r="B323" t="s">
        <v>4993</v>
      </c>
      <c r="C323" t="s">
        <v>74</v>
      </c>
      <c r="D323" t="s">
        <v>74</v>
      </c>
      <c r="E323" t="s">
        <v>74</v>
      </c>
      <c r="F323" t="s">
        <v>4993</v>
      </c>
      <c r="G323" t="s">
        <v>74</v>
      </c>
      <c r="H323" t="s">
        <v>74</v>
      </c>
      <c r="I323" t="s">
        <v>4994</v>
      </c>
      <c r="J323" t="s">
        <v>1883</v>
      </c>
      <c r="K323" t="s">
        <v>74</v>
      </c>
      <c r="L323" t="s">
        <v>74</v>
      </c>
      <c r="M323" t="s">
        <v>77</v>
      </c>
      <c r="N323" t="s">
        <v>78</v>
      </c>
      <c r="O323" t="s">
        <v>74</v>
      </c>
      <c r="P323" t="s">
        <v>74</v>
      </c>
      <c r="Q323" t="s">
        <v>74</v>
      </c>
      <c r="R323" t="s">
        <v>74</v>
      </c>
      <c r="S323" t="s">
        <v>74</v>
      </c>
      <c r="T323" t="s">
        <v>4995</v>
      </c>
      <c r="U323" t="s">
        <v>4996</v>
      </c>
      <c r="V323" t="s">
        <v>4997</v>
      </c>
      <c r="W323" t="s">
        <v>4998</v>
      </c>
      <c r="X323" t="s">
        <v>3327</v>
      </c>
      <c r="Y323" t="s">
        <v>4999</v>
      </c>
      <c r="Z323" t="s">
        <v>2105</v>
      </c>
      <c r="AA323" t="s">
        <v>74</v>
      </c>
      <c r="AB323" t="s">
        <v>74</v>
      </c>
      <c r="AC323" t="s">
        <v>74</v>
      </c>
      <c r="AD323" t="s">
        <v>74</v>
      </c>
      <c r="AE323" t="s">
        <v>74</v>
      </c>
      <c r="AF323" t="s">
        <v>74</v>
      </c>
      <c r="AG323">
        <v>58</v>
      </c>
      <c r="AH323">
        <v>24</v>
      </c>
      <c r="AI323">
        <v>26</v>
      </c>
      <c r="AJ323">
        <v>0</v>
      </c>
      <c r="AK323">
        <v>7</v>
      </c>
      <c r="AL323" t="s">
        <v>207</v>
      </c>
      <c r="AM323" t="s">
        <v>208</v>
      </c>
      <c r="AN323" t="s">
        <v>209</v>
      </c>
      <c r="AO323" t="s">
        <v>1892</v>
      </c>
      <c r="AP323" t="s">
        <v>3599</v>
      </c>
      <c r="AQ323" t="s">
        <v>74</v>
      </c>
      <c r="AR323" t="s">
        <v>1883</v>
      </c>
      <c r="AS323" t="s">
        <v>1893</v>
      </c>
      <c r="AT323" t="s">
        <v>4604</v>
      </c>
      <c r="AU323">
        <v>2003</v>
      </c>
      <c r="AV323">
        <v>502</v>
      </c>
      <c r="AW323" t="s">
        <v>1894</v>
      </c>
      <c r="AX323" t="s">
        <v>74</v>
      </c>
      <c r="AY323" t="s">
        <v>74</v>
      </c>
      <c r="AZ323" t="s">
        <v>74</v>
      </c>
      <c r="BA323" t="s">
        <v>74</v>
      </c>
      <c r="BB323">
        <v>211</v>
      </c>
      <c r="BC323">
        <v>224</v>
      </c>
      <c r="BD323" t="s">
        <v>74</v>
      </c>
      <c r="BE323" t="s">
        <v>5000</v>
      </c>
      <c r="BF323" t="str">
        <f>HYPERLINK("http://dx.doi.org/10.1023/B:HYDR.0000004283.11230.4a","http://dx.doi.org/10.1023/B:HYDR.0000004283.11230.4a")</f>
        <v>http://dx.doi.org/10.1023/B:HYDR.0000004283.11230.4a</v>
      </c>
      <c r="BG323" t="s">
        <v>74</v>
      </c>
      <c r="BH323" t="s">
        <v>74</v>
      </c>
      <c r="BI323">
        <v>14</v>
      </c>
      <c r="BJ323" t="s">
        <v>235</v>
      </c>
      <c r="BK323" t="s">
        <v>94</v>
      </c>
      <c r="BL323" t="s">
        <v>235</v>
      </c>
      <c r="BM323" t="s">
        <v>5001</v>
      </c>
      <c r="BN323" t="s">
        <v>74</v>
      </c>
      <c r="BO323" t="s">
        <v>74</v>
      </c>
      <c r="BP323" t="s">
        <v>74</v>
      </c>
      <c r="BQ323" t="s">
        <v>74</v>
      </c>
      <c r="BR323" t="s">
        <v>97</v>
      </c>
      <c r="BS323" t="s">
        <v>5002</v>
      </c>
      <c r="BT323" t="str">
        <f>HYPERLINK("https%3A%2F%2Fwww.webofscience.com%2Fwos%2Fwoscc%2Ffull-record%2FWOS:000186636900018","View Full Record in Web of Science")</f>
        <v>View Full Record in Web of Science</v>
      </c>
    </row>
    <row r="324" spans="1:72" x14ac:dyDescent="0.15">
      <c r="A324" t="s">
        <v>72</v>
      </c>
      <c r="B324" t="s">
        <v>5003</v>
      </c>
      <c r="C324" t="s">
        <v>74</v>
      </c>
      <c r="D324" t="s">
        <v>74</v>
      </c>
      <c r="E324" t="s">
        <v>74</v>
      </c>
      <c r="F324" t="s">
        <v>5003</v>
      </c>
      <c r="G324" t="s">
        <v>74</v>
      </c>
      <c r="H324" t="s">
        <v>74</v>
      </c>
      <c r="I324" t="s">
        <v>5004</v>
      </c>
      <c r="J324" t="s">
        <v>5005</v>
      </c>
      <c r="K324" t="s">
        <v>74</v>
      </c>
      <c r="L324" t="s">
        <v>74</v>
      </c>
      <c r="M324" t="s">
        <v>77</v>
      </c>
      <c r="N324" t="s">
        <v>78</v>
      </c>
      <c r="O324" t="s">
        <v>74</v>
      </c>
      <c r="P324" t="s">
        <v>74</v>
      </c>
      <c r="Q324" t="s">
        <v>74</v>
      </c>
      <c r="R324" t="s">
        <v>74</v>
      </c>
      <c r="S324" t="s">
        <v>74</v>
      </c>
      <c r="T324" t="s">
        <v>74</v>
      </c>
      <c r="U324" t="s">
        <v>5006</v>
      </c>
      <c r="V324" t="s">
        <v>74</v>
      </c>
      <c r="W324" t="s">
        <v>5007</v>
      </c>
      <c r="X324" t="s">
        <v>351</v>
      </c>
      <c r="Y324" t="s">
        <v>5008</v>
      </c>
      <c r="Z324" t="s">
        <v>5009</v>
      </c>
      <c r="AA324" t="s">
        <v>5010</v>
      </c>
      <c r="AB324" t="s">
        <v>5011</v>
      </c>
      <c r="AC324" t="s">
        <v>74</v>
      </c>
      <c r="AD324" t="s">
        <v>74</v>
      </c>
      <c r="AE324" t="s">
        <v>74</v>
      </c>
      <c r="AF324" t="s">
        <v>74</v>
      </c>
      <c r="AG324">
        <v>13</v>
      </c>
      <c r="AH324">
        <v>11</v>
      </c>
      <c r="AI324">
        <v>13</v>
      </c>
      <c r="AJ324">
        <v>0</v>
      </c>
      <c r="AK324">
        <v>4</v>
      </c>
      <c r="AL324" t="s">
        <v>5012</v>
      </c>
      <c r="AM324" t="s">
        <v>5013</v>
      </c>
      <c r="AN324" t="s">
        <v>5014</v>
      </c>
      <c r="AO324" t="s">
        <v>5015</v>
      </c>
      <c r="AP324" t="s">
        <v>74</v>
      </c>
      <c r="AQ324" t="s">
        <v>74</v>
      </c>
      <c r="AR324" t="s">
        <v>5005</v>
      </c>
      <c r="AS324" t="s">
        <v>5016</v>
      </c>
      <c r="AT324" t="s">
        <v>4604</v>
      </c>
      <c r="AU324">
        <v>2003</v>
      </c>
      <c r="AV324">
        <v>145</v>
      </c>
      <c r="AW324">
        <v>3</v>
      </c>
      <c r="AX324" t="s">
        <v>74</v>
      </c>
      <c r="AY324" t="s">
        <v>74</v>
      </c>
      <c r="AZ324" t="s">
        <v>74</v>
      </c>
      <c r="BA324" t="s">
        <v>74</v>
      </c>
      <c r="BB324">
        <v>502</v>
      </c>
      <c r="BC324">
        <v>505</v>
      </c>
      <c r="BD324" t="s">
        <v>74</v>
      </c>
      <c r="BE324" t="s">
        <v>5017</v>
      </c>
      <c r="BF324" t="str">
        <f>HYPERLINK("http://dx.doi.org/10.1046/j.1474-919X.2003.00186.x","http://dx.doi.org/10.1046/j.1474-919X.2003.00186.x")</f>
        <v>http://dx.doi.org/10.1046/j.1474-919X.2003.00186.x</v>
      </c>
      <c r="BG324" t="s">
        <v>74</v>
      </c>
      <c r="BH324" t="s">
        <v>74</v>
      </c>
      <c r="BI324">
        <v>4</v>
      </c>
      <c r="BJ324" t="s">
        <v>2546</v>
      </c>
      <c r="BK324" t="s">
        <v>94</v>
      </c>
      <c r="BL324" t="s">
        <v>258</v>
      </c>
      <c r="BM324" t="s">
        <v>5018</v>
      </c>
      <c r="BN324" t="s">
        <v>74</v>
      </c>
      <c r="BO324" t="s">
        <v>74</v>
      </c>
      <c r="BP324" t="s">
        <v>74</v>
      </c>
      <c r="BQ324" t="s">
        <v>74</v>
      </c>
      <c r="BR324" t="s">
        <v>97</v>
      </c>
      <c r="BS324" t="s">
        <v>5019</v>
      </c>
      <c r="BT324" t="str">
        <f>HYPERLINK("https%3A%2F%2Fwww.webofscience.com%2Fwos%2Fwoscc%2Ffull-record%2FWOS:000183972600020","View Full Record in Web of Science")</f>
        <v>View Full Record in Web of Science</v>
      </c>
    </row>
    <row r="325" spans="1:72" x14ac:dyDescent="0.15">
      <c r="A325" t="s">
        <v>72</v>
      </c>
      <c r="B325" t="s">
        <v>5020</v>
      </c>
      <c r="C325" t="s">
        <v>74</v>
      </c>
      <c r="D325" t="s">
        <v>74</v>
      </c>
      <c r="E325" t="s">
        <v>74</v>
      </c>
      <c r="F325" t="s">
        <v>5020</v>
      </c>
      <c r="G325" t="s">
        <v>74</v>
      </c>
      <c r="H325" t="s">
        <v>74</v>
      </c>
      <c r="I325" t="s">
        <v>5021</v>
      </c>
      <c r="J325" t="s">
        <v>5022</v>
      </c>
      <c r="K325" t="s">
        <v>74</v>
      </c>
      <c r="L325" t="s">
        <v>74</v>
      </c>
      <c r="M325" t="s">
        <v>77</v>
      </c>
      <c r="N325" t="s">
        <v>78</v>
      </c>
      <c r="O325" t="s">
        <v>74</v>
      </c>
      <c r="P325" t="s">
        <v>74</v>
      </c>
      <c r="Q325" t="s">
        <v>74</v>
      </c>
      <c r="R325" t="s">
        <v>74</v>
      </c>
      <c r="S325" t="s">
        <v>74</v>
      </c>
      <c r="T325" t="s">
        <v>5023</v>
      </c>
      <c r="U325" t="s">
        <v>5024</v>
      </c>
      <c r="V325" t="s">
        <v>5025</v>
      </c>
      <c r="W325" t="s">
        <v>5026</v>
      </c>
      <c r="X325" t="s">
        <v>5027</v>
      </c>
      <c r="Y325" t="s">
        <v>5028</v>
      </c>
      <c r="Z325" t="s">
        <v>5029</v>
      </c>
      <c r="AA325" t="s">
        <v>5030</v>
      </c>
      <c r="AB325" t="s">
        <v>5031</v>
      </c>
      <c r="AC325" t="s">
        <v>74</v>
      </c>
      <c r="AD325" t="s">
        <v>74</v>
      </c>
      <c r="AE325" t="s">
        <v>74</v>
      </c>
      <c r="AF325" t="s">
        <v>74</v>
      </c>
      <c r="AG325">
        <v>23</v>
      </c>
      <c r="AH325">
        <v>20</v>
      </c>
      <c r="AI325">
        <v>29</v>
      </c>
      <c r="AJ325">
        <v>0</v>
      </c>
      <c r="AK325">
        <v>6</v>
      </c>
      <c r="AL325" t="s">
        <v>781</v>
      </c>
      <c r="AM325" t="s">
        <v>111</v>
      </c>
      <c r="AN325" t="s">
        <v>782</v>
      </c>
      <c r="AO325" t="s">
        <v>5032</v>
      </c>
      <c r="AP325" t="s">
        <v>5033</v>
      </c>
      <c r="AQ325" t="s">
        <v>74</v>
      </c>
      <c r="AR325" t="s">
        <v>5034</v>
      </c>
      <c r="AS325" t="s">
        <v>5035</v>
      </c>
      <c r="AT325" t="s">
        <v>4604</v>
      </c>
      <c r="AU325">
        <v>2003</v>
      </c>
      <c r="AV325">
        <v>49</v>
      </c>
      <c r="AW325">
        <v>1</v>
      </c>
      <c r="AX325" t="s">
        <v>74</v>
      </c>
      <c r="AY325" t="s">
        <v>74</v>
      </c>
      <c r="AZ325" t="s">
        <v>74</v>
      </c>
      <c r="BA325" t="s">
        <v>74</v>
      </c>
      <c r="BB325">
        <v>17</v>
      </c>
      <c r="BC325">
        <v>27</v>
      </c>
      <c r="BD325" t="s">
        <v>74</v>
      </c>
      <c r="BE325" t="s">
        <v>5036</v>
      </c>
      <c r="BF325" t="str">
        <f>HYPERLINK("http://dx.doi.org/10.1016/S0167-8760(03)00074-6","http://dx.doi.org/10.1016/S0167-8760(03)00074-6")</f>
        <v>http://dx.doi.org/10.1016/S0167-8760(03)00074-6</v>
      </c>
      <c r="BG325" t="s">
        <v>74</v>
      </c>
      <c r="BH325" t="s">
        <v>74</v>
      </c>
      <c r="BI325">
        <v>11</v>
      </c>
      <c r="BJ325" t="s">
        <v>5037</v>
      </c>
      <c r="BK325" t="s">
        <v>4544</v>
      </c>
      <c r="BL325" t="s">
        <v>5038</v>
      </c>
      <c r="BM325" t="s">
        <v>5039</v>
      </c>
      <c r="BN325">
        <v>12853127</v>
      </c>
      <c r="BO325" t="s">
        <v>74</v>
      </c>
      <c r="BP325" t="s">
        <v>74</v>
      </c>
      <c r="BQ325" t="s">
        <v>74</v>
      </c>
      <c r="BR325" t="s">
        <v>97</v>
      </c>
      <c r="BS325" t="s">
        <v>5040</v>
      </c>
      <c r="BT325" t="str">
        <f>HYPERLINK("https%3A%2F%2Fwww.webofscience.com%2Fwos%2Fwoscc%2Ffull-record%2FWOS:000184419400002","View Full Record in Web of Science")</f>
        <v>View Full Record in Web of Science</v>
      </c>
    </row>
    <row r="326" spans="1:72" x14ac:dyDescent="0.15">
      <c r="A326" t="s">
        <v>72</v>
      </c>
      <c r="B326" t="s">
        <v>5041</v>
      </c>
      <c r="C326" t="s">
        <v>74</v>
      </c>
      <c r="D326" t="s">
        <v>74</v>
      </c>
      <c r="E326" t="s">
        <v>74</v>
      </c>
      <c r="F326" t="s">
        <v>5041</v>
      </c>
      <c r="G326" t="s">
        <v>74</v>
      </c>
      <c r="H326" t="s">
        <v>74</v>
      </c>
      <c r="I326" t="s">
        <v>5042</v>
      </c>
      <c r="J326" t="s">
        <v>1900</v>
      </c>
      <c r="K326" t="s">
        <v>74</v>
      </c>
      <c r="L326" t="s">
        <v>74</v>
      </c>
      <c r="M326" t="s">
        <v>77</v>
      </c>
      <c r="N326" t="s">
        <v>78</v>
      </c>
      <c r="O326" t="s">
        <v>74</v>
      </c>
      <c r="P326" t="s">
        <v>74</v>
      </c>
      <c r="Q326" t="s">
        <v>74</v>
      </c>
      <c r="R326" t="s">
        <v>74</v>
      </c>
      <c r="S326" t="s">
        <v>74</v>
      </c>
      <c r="T326" t="s">
        <v>74</v>
      </c>
      <c r="U326" t="s">
        <v>5043</v>
      </c>
      <c r="V326" t="s">
        <v>5044</v>
      </c>
      <c r="W326" t="s">
        <v>5045</v>
      </c>
      <c r="X326" t="s">
        <v>5046</v>
      </c>
      <c r="Y326" t="s">
        <v>5047</v>
      </c>
      <c r="Z326" t="s">
        <v>74</v>
      </c>
      <c r="AA326" t="s">
        <v>5048</v>
      </c>
      <c r="AB326" t="s">
        <v>74</v>
      </c>
      <c r="AC326" t="s">
        <v>74</v>
      </c>
      <c r="AD326" t="s">
        <v>74</v>
      </c>
      <c r="AE326" t="s">
        <v>74</v>
      </c>
      <c r="AF326" t="s">
        <v>74</v>
      </c>
      <c r="AG326">
        <v>38</v>
      </c>
      <c r="AH326">
        <v>44</v>
      </c>
      <c r="AI326">
        <v>50</v>
      </c>
      <c r="AJ326">
        <v>1</v>
      </c>
      <c r="AK326">
        <v>5</v>
      </c>
      <c r="AL326" t="s">
        <v>1906</v>
      </c>
      <c r="AM326" t="s">
        <v>442</v>
      </c>
      <c r="AN326" t="s">
        <v>1907</v>
      </c>
      <c r="AO326" t="s">
        <v>1908</v>
      </c>
      <c r="AP326" t="s">
        <v>74</v>
      </c>
      <c r="AQ326" t="s">
        <v>74</v>
      </c>
      <c r="AR326" t="s">
        <v>1909</v>
      </c>
      <c r="AS326" t="s">
        <v>1910</v>
      </c>
      <c r="AT326" t="s">
        <v>4604</v>
      </c>
      <c r="AU326">
        <v>2003</v>
      </c>
      <c r="AV326">
        <v>53</v>
      </c>
      <c r="AW326" t="s">
        <v>74</v>
      </c>
      <c r="AX326">
        <v>4</v>
      </c>
      <c r="AY326" t="s">
        <v>74</v>
      </c>
      <c r="AZ326" t="s">
        <v>74</v>
      </c>
      <c r="BA326" t="s">
        <v>74</v>
      </c>
      <c r="BB326">
        <v>985</v>
      </c>
      <c r="BC326">
        <v>994</v>
      </c>
      <c r="BD326" t="s">
        <v>74</v>
      </c>
      <c r="BE326" t="s">
        <v>5049</v>
      </c>
      <c r="BF326" t="str">
        <f>HYPERLINK("http://dx.doi.org/10.1099/ijs.0.02415-0","http://dx.doi.org/10.1099/ijs.0.02415-0")</f>
        <v>http://dx.doi.org/10.1099/ijs.0.02415-0</v>
      </c>
      <c r="BG326" t="s">
        <v>74</v>
      </c>
      <c r="BH326" t="s">
        <v>74</v>
      </c>
      <c r="BI326">
        <v>10</v>
      </c>
      <c r="BJ326" t="s">
        <v>1912</v>
      </c>
      <c r="BK326" t="s">
        <v>94</v>
      </c>
      <c r="BL326" t="s">
        <v>1912</v>
      </c>
      <c r="BM326" t="s">
        <v>5050</v>
      </c>
      <c r="BN326">
        <v>12892115</v>
      </c>
      <c r="BO326" t="s">
        <v>96</v>
      </c>
      <c r="BP326" t="s">
        <v>74</v>
      </c>
      <c r="BQ326" t="s">
        <v>74</v>
      </c>
      <c r="BR326" t="s">
        <v>97</v>
      </c>
      <c r="BS326" t="s">
        <v>5051</v>
      </c>
      <c r="BT326" t="str">
        <f>HYPERLINK("https%3A%2F%2Fwww.webofscience.com%2Fwos%2Fwoscc%2Ffull-record%2FWOS:000184237700006","View Full Record in Web of Science")</f>
        <v>View Full Record in Web of Science</v>
      </c>
    </row>
    <row r="327" spans="1:72" x14ac:dyDescent="0.15">
      <c r="A327" t="s">
        <v>72</v>
      </c>
      <c r="B327" t="s">
        <v>5052</v>
      </c>
      <c r="C327" t="s">
        <v>74</v>
      </c>
      <c r="D327" t="s">
        <v>74</v>
      </c>
      <c r="E327" t="s">
        <v>74</v>
      </c>
      <c r="F327" t="s">
        <v>5052</v>
      </c>
      <c r="G327" t="s">
        <v>74</v>
      </c>
      <c r="H327" t="s">
        <v>74</v>
      </c>
      <c r="I327" t="s">
        <v>5053</v>
      </c>
      <c r="J327" t="s">
        <v>1900</v>
      </c>
      <c r="K327" t="s">
        <v>74</v>
      </c>
      <c r="L327" t="s">
        <v>74</v>
      </c>
      <c r="M327" t="s">
        <v>77</v>
      </c>
      <c r="N327" t="s">
        <v>78</v>
      </c>
      <c r="O327" t="s">
        <v>74</v>
      </c>
      <c r="P327" t="s">
        <v>74</v>
      </c>
      <c r="Q327" t="s">
        <v>74</v>
      </c>
      <c r="R327" t="s">
        <v>74</v>
      </c>
      <c r="S327" t="s">
        <v>74</v>
      </c>
      <c r="T327" t="s">
        <v>74</v>
      </c>
      <c r="U327" t="s">
        <v>5054</v>
      </c>
      <c r="V327" t="s">
        <v>5055</v>
      </c>
      <c r="W327" t="s">
        <v>5056</v>
      </c>
      <c r="X327" t="s">
        <v>5057</v>
      </c>
      <c r="Y327" t="s">
        <v>5058</v>
      </c>
      <c r="Z327" t="s">
        <v>74</v>
      </c>
      <c r="AA327" t="s">
        <v>5059</v>
      </c>
      <c r="AB327" t="s">
        <v>5060</v>
      </c>
      <c r="AC327" t="s">
        <v>74</v>
      </c>
      <c r="AD327" t="s">
        <v>74</v>
      </c>
      <c r="AE327" t="s">
        <v>74</v>
      </c>
      <c r="AF327" t="s">
        <v>74</v>
      </c>
      <c r="AG327">
        <v>32</v>
      </c>
      <c r="AH327">
        <v>93</v>
      </c>
      <c r="AI327">
        <v>103</v>
      </c>
      <c r="AJ327">
        <v>1</v>
      </c>
      <c r="AK327">
        <v>21</v>
      </c>
      <c r="AL327" t="s">
        <v>1906</v>
      </c>
      <c r="AM327" t="s">
        <v>442</v>
      </c>
      <c r="AN327" t="s">
        <v>1907</v>
      </c>
      <c r="AO327" t="s">
        <v>1908</v>
      </c>
      <c r="AP327" t="s">
        <v>74</v>
      </c>
      <c r="AQ327" t="s">
        <v>74</v>
      </c>
      <c r="AR327" t="s">
        <v>1909</v>
      </c>
      <c r="AS327" t="s">
        <v>1910</v>
      </c>
      <c r="AT327" t="s">
        <v>4604</v>
      </c>
      <c r="AU327">
        <v>2003</v>
      </c>
      <c r="AV327">
        <v>53</v>
      </c>
      <c r="AW327" t="s">
        <v>74</v>
      </c>
      <c r="AX327">
        <v>4</v>
      </c>
      <c r="AY327" t="s">
        <v>74</v>
      </c>
      <c r="AZ327" t="s">
        <v>74</v>
      </c>
      <c r="BA327" t="s">
        <v>74</v>
      </c>
      <c r="BB327">
        <v>1019</v>
      </c>
      <c r="BC327">
        <v>1029</v>
      </c>
      <c r="BD327" t="s">
        <v>74</v>
      </c>
      <c r="BE327" t="s">
        <v>5061</v>
      </c>
      <c r="BF327" t="str">
        <f>HYPERLINK("http://dx.doi.org/10.1099/ijs.0.02554-0","http://dx.doi.org/10.1099/ijs.0.02554-0")</f>
        <v>http://dx.doi.org/10.1099/ijs.0.02554-0</v>
      </c>
      <c r="BG327" t="s">
        <v>74</v>
      </c>
      <c r="BH327" t="s">
        <v>74</v>
      </c>
      <c r="BI327">
        <v>11</v>
      </c>
      <c r="BJ327" t="s">
        <v>1912</v>
      </c>
      <c r="BK327" t="s">
        <v>94</v>
      </c>
      <c r="BL327" t="s">
        <v>1912</v>
      </c>
      <c r="BM327" t="s">
        <v>5050</v>
      </c>
      <c r="BN327">
        <v>12892121</v>
      </c>
      <c r="BO327" t="s">
        <v>96</v>
      </c>
      <c r="BP327" t="s">
        <v>74</v>
      </c>
      <c r="BQ327" t="s">
        <v>74</v>
      </c>
      <c r="BR327" t="s">
        <v>97</v>
      </c>
      <c r="BS327" t="s">
        <v>5062</v>
      </c>
      <c r="BT327" t="str">
        <f>HYPERLINK("https%3A%2F%2Fwww.webofscience.com%2Fwos%2Fwoscc%2Ffull-record%2FWOS:000184237700012","View Full Record in Web of Science")</f>
        <v>View Full Record in Web of Science</v>
      </c>
    </row>
    <row r="328" spans="1:72" x14ac:dyDescent="0.15">
      <c r="A328" t="s">
        <v>72</v>
      </c>
      <c r="B328" t="s">
        <v>5063</v>
      </c>
      <c r="C328" t="s">
        <v>74</v>
      </c>
      <c r="D328" t="s">
        <v>74</v>
      </c>
      <c r="E328" t="s">
        <v>74</v>
      </c>
      <c r="F328" t="s">
        <v>5063</v>
      </c>
      <c r="G328" t="s">
        <v>74</v>
      </c>
      <c r="H328" t="s">
        <v>74</v>
      </c>
      <c r="I328" t="s">
        <v>5064</v>
      </c>
      <c r="J328" t="s">
        <v>1900</v>
      </c>
      <c r="K328" t="s">
        <v>74</v>
      </c>
      <c r="L328" t="s">
        <v>74</v>
      </c>
      <c r="M328" t="s">
        <v>77</v>
      </c>
      <c r="N328" t="s">
        <v>78</v>
      </c>
      <c r="O328" t="s">
        <v>74</v>
      </c>
      <c r="P328" t="s">
        <v>74</v>
      </c>
      <c r="Q328" t="s">
        <v>74</v>
      </c>
      <c r="R328" t="s">
        <v>74</v>
      </c>
      <c r="S328" t="s">
        <v>74</v>
      </c>
      <c r="T328" t="s">
        <v>74</v>
      </c>
      <c r="U328" t="s">
        <v>5065</v>
      </c>
      <c r="V328" t="s">
        <v>5066</v>
      </c>
      <c r="W328" t="s">
        <v>5067</v>
      </c>
      <c r="X328" t="s">
        <v>5068</v>
      </c>
      <c r="Y328" t="s">
        <v>5069</v>
      </c>
      <c r="Z328" t="s">
        <v>5070</v>
      </c>
      <c r="AA328" t="s">
        <v>5071</v>
      </c>
      <c r="AB328" t="s">
        <v>74</v>
      </c>
      <c r="AC328" t="s">
        <v>74</v>
      </c>
      <c r="AD328" t="s">
        <v>74</v>
      </c>
      <c r="AE328" t="s">
        <v>74</v>
      </c>
      <c r="AF328" t="s">
        <v>74</v>
      </c>
      <c r="AG328">
        <v>27</v>
      </c>
      <c r="AH328">
        <v>106</v>
      </c>
      <c r="AI328">
        <v>121</v>
      </c>
      <c r="AJ328">
        <v>4</v>
      </c>
      <c r="AK328">
        <v>29</v>
      </c>
      <c r="AL328" t="s">
        <v>1925</v>
      </c>
      <c r="AM328" t="s">
        <v>964</v>
      </c>
      <c r="AN328" t="s">
        <v>1926</v>
      </c>
      <c r="AO328" t="s">
        <v>1908</v>
      </c>
      <c r="AP328" t="s">
        <v>1927</v>
      </c>
      <c r="AQ328" t="s">
        <v>74</v>
      </c>
      <c r="AR328" t="s">
        <v>1909</v>
      </c>
      <c r="AS328" t="s">
        <v>1910</v>
      </c>
      <c r="AT328" t="s">
        <v>4604</v>
      </c>
      <c r="AU328">
        <v>2003</v>
      </c>
      <c r="AV328">
        <v>53</v>
      </c>
      <c r="AW328" t="s">
        <v>74</v>
      </c>
      <c r="AX328">
        <v>4</v>
      </c>
      <c r="AY328" t="s">
        <v>74</v>
      </c>
      <c r="AZ328" t="s">
        <v>74</v>
      </c>
      <c r="BA328" t="s">
        <v>74</v>
      </c>
      <c r="BB328">
        <v>1093</v>
      </c>
      <c r="BC328">
        <v>1100</v>
      </c>
      <c r="BD328" t="s">
        <v>74</v>
      </c>
      <c r="BE328" t="s">
        <v>5072</v>
      </c>
      <c r="BF328" t="str">
        <f>HYPERLINK("http://dx.doi.org/10.1099/ijs.0.02457-0","http://dx.doi.org/10.1099/ijs.0.02457-0")</f>
        <v>http://dx.doi.org/10.1099/ijs.0.02457-0</v>
      </c>
      <c r="BG328" t="s">
        <v>74</v>
      </c>
      <c r="BH328" t="s">
        <v>74</v>
      </c>
      <c r="BI328">
        <v>8</v>
      </c>
      <c r="BJ328" t="s">
        <v>1912</v>
      </c>
      <c r="BK328" t="s">
        <v>94</v>
      </c>
      <c r="BL328" t="s">
        <v>1912</v>
      </c>
      <c r="BM328" t="s">
        <v>5050</v>
      </c>
      <c r="BN328">
        <v>12892132</v>
      </c>
      <c r="BO328" t="s">
        <v>74</v>
      </c>
      <c r="BP328" t="s">
        <v>74</v>
      </c>
      <c r="BQ328" t="s">
        <v>74</v>
      </c>
      <c r="BR328" t="s">
        <v>97</v>
      </c>
      <c r="BS328" t="s">
        <v>5073</v>
      </c>
      <c r="BT328" t="str">
        <f>HYPERLINK("https%3A%2F%2Fwww.webofscience.com%2Fwos%2Fwoscc%2Ffull-record%2FWOS:000184237700023","View Full Record in Web of Science")</f>
        <v>View Full Record in Web of Science</v>
      </c>
    </row>
    <row r="329" spans="1:72" x14ac:dyDescent="0.15">
      <c r="A329" t="s">
        <v>72</v>
      </c>
      <c r="B329" t="s">
        <v>5074</v>
      </c>
      <c r="C329" t="s">
        <v>74</v>
      </c>
      <c r="D329" t="s">
        <v>74</v>
      </c>
      <c r="E329" t="s">
        <v>74</v>
      </c>
      <c r="F329" t="s">
        <v>5074</v>
      </c>
      <c r="G329" t="s">
        <v>74</v>
      </c>
      <c r="H329" t="s">
        <v>74</v>
      </c>
      <c r="I329" t="s">
        <v>5075</v>
      </c>
      <c r="J329" t="s">
        <v>1943</v>
      </c>
      <c r="K329" t="s">
        <v>74</v>
      </c>
      <c r="L329" t="s">
        <v>74</v>
      </c>
      <c r="M329" t="s">
        <v>77</v>
      </c>
      <c r="N329" t="s">
        <v>78</v>
      </c>
      <c r="O329" t="s">
        <v>74</v>
      </c>
      <c r="P329" t="s">
        <v>74</v>
      </c>
      <c r="Q329" t="s">
        <v>74</v>
      </c>
      <c r="R329" t="s">
        <v>74</v>
      </c>
      <c r="S329" t="s">
        <v>74</v>
      </c>
      <c r="T329" t="s">
        <v>5076</v>
      </c>
      <c r="U329" t="s">
        <v>5077</v>
      </c>
      <c r="V329" t="s">
        <v>5078</v>
      </c>
      <c r="W329" t="s">
        <v>5079</v>
      </c>
      <c r="X329" t="s">
        <v>5080</v>
      </c>
      <c r="Y329" t="s">
        <v>5081</v>
      </c>
      <c r="Z329" t="s">
        <v>74</v>
      </c>
      <c r="AA329" t="s">
        <v>74</v>
      </c>
      <c r="AB329" t="s">
        <v>5082</v>
      </c>
      <c r="AC329" t="s">
        <v>74</v>
      </c>
      <c r="AD329" t="s">
        <v>74</v>
      </c>
      <c r="AE329" t="s">
        <v>74</v>
      </c>
      <c r="AF329" t="s">
        <v>74</v>
      </c>
      <c r="AG329">
        <v>29</v>
      </c>
      <c r="AH329">
        <v>20</v>
      </c>
      <c r="AI329">
        <v>23</v>
      </c>
      <c r="AJ329">
        <v>0</v>
      </c>
      <c r="AK329">
        <v>0</v>
      </c>
      <c r="AL329" t="s">
        <v>1951</v>
      </c>
      <c r="AM329" t="s">
        <v>1952</v>
      </c>
      <c r="AN329" t="s">
        <v>1953</v>
      </c>
      <c r="AO329" t="s">
        <v>1954</v>
      </c>
      <c r="AP329" t="s">
        <v>74</v>
      </c>
      <c r="AQ329" t="s">
        <v>74</v>
      </c>
      <c r="AR329" t="s">
        <v>1955</v>
      </c>
      <c r="AS329" t="s">
        <v>1956</v>
      </c>
      <c r="AT329" t="s">
        <v>4604</v>
      </c>
      <c r="AU329">
        <v>2003</v>
      </c>
      <c r="AV329">
        <v>43</v>
      </c>
      <c r="AW329">
        <v>3</v>
      </c>
      <c r="AX329" t="s">
        <v>74</v>
      </c>
      <c r="AY329" t="s">
        <v>74</v>
      </c>
      <c r="AZ329" t="s">
        <v>74</v>
      </c>
      <c r="BA329" t="s">
        <v>74</v>
      </c>
      <c r="BB329">
        <v>181</v>
      </c>
      <c r="BC329">
        <v>192</v>
      </c>
      <c r="BD329" t="s">
        <v>74</v>
      </c>
      <c r="BE329" t="s">
        <v>5083</v>
      </c>
      <c r="BF329" t="str">
        <f>HYPERLINK("http://dx.doi.org/10.1080/07924259.2003.9652539","http://dx.doi.org/10.1080/07924259.2003.9652539")</f>
        <v>http://dx.doi.org/10.1080/07924259.2003.9652539</v>
      </c>
      <c r="BG329" t="s">
        <v>74</v>
      </c>
      <c r="BH329" t="s">
        <v>74</v>
      </c>
      <c r="BI329">
        <v>12</v>
      </c>
      <c r="BJ329" t="s">
        <v>1958</v>
      </c>
      <c r="BK329" t="s">
        <v>94</v>
      </c>
      <c r="BL329" t="s">
        <v>1958</v>
      </c>
      <c r="BM329" t="s">
        <v>5084</v>
      </c>
      <c r="BN329" t="s">
        <v>74</v>
      </c>
      <c r="BO329" t="s">
        <v>74</v>
      </c>
      <c r="BP329" t="s">
        <v>74</v>
      </c>
      <c r="BQ329" t="s">
        <v>74</v>
      </c>
      <c r="BR329" t="s">
        <v>97</v>
      </c>
      <c r="BS329" t="s">
        <v>5085</v>
      </c>
      <c r="BT329" t="str">
        <f>HYPERLINK("https%3A%2F%2Fwww.webofscience.com%2Fwos%2Fwoscc%2Ffull-record%2FWOS:000184688600002","View Full Record in Web of Science")</f>
        <v>View Full Record in Web of Science</v>
      </c>
    </row>
    <row r="330" spans="1:72" x14ac:dyDescent="0.15">
      <c r="A330" t="s">
        <v>72</v>
      </c>
      <c r="B330" t="s">
        <v>5086</v>
      </c>
      <c r="C330" t="s">
        <v>74</v>
      </c>
      <c r="D330" t="s">
        <v>74</v>
      </c>
      <c r="E330" t="s">
        <v>74</v>
      </c>
      <c r="F330" t="s">
        <v>5086</v>
      </c>
      <c r="G330" t="s">
        <v>74</v>
      </c>
      <c r="H330" t="s">
        <v>74</v>
      </c>
      <c r="I330" t="s">
        <v>5087</v>
      </c>
      <c r="J330" t="s">
        <v>5088</v>
      </c>
      <c r="K330" t="s">
        <v>74</v>
      </c>
      <c r="L330" t="s">
        <v>74</v>
      </c>
      <c r="M330" t="s">
        <v>77</v>
      </c>
      <c r="N330" t="s">
        <v>78</v>
      </c>
      <c r="O330" t="s">
        <v>74</v>
      </c>
      <c r="P330" t="s">
        <v>74</v>
      </c>
      <c r="Q330" t="s">
        <v>74</v>
      </c>
      <c r="R330" t="s">
        <v>74</v>
      </c>
      <c r="S330" t="s">
        <v>74</v>
      </c>
      <c r="T330" t="s">
        <v>74</v>
      </c>
      <c r="U330" t="s">
        <v>5089</v>
      </c>
      <c r="V330" t="s">
        <v>5090</v>
      </c>
      <c r="W330" t="s">
        <v>5091</v>
      </c>
      <c r="X330" t="s">
        <v>4954</v>
      </c>
      <c r="Y330" t="s">
        <v>5092</v>
      </c>
      <c r="Z330" t="s">
        <v>74</v>
      </c>
      <c r="AA330" t="s">
        <v>5093</v>
      </c>
      <c r="AB330" t="s">
        <v>74</v>
      </c>
      <c r="AC330" t="s">
        <v>74</v>
      </c>
      <c r="AD330" t="s">
        <v>74</v>
      </c>
      <c r="AE330" t="s">
        <v>74</v>
      </c>
      <c r="AF330" t="s">
        <v>74</v>
      </c>
      <c r="AG330">
        <v>16</v>
      </c>
      <c r="AH330">
        <v>3</v>
      </c>
      <c r="AI330">
        <v>3</v>
      </c>
      <c r="AJ330">
        <v>0</v>
      </c>
      <c r="AK330">
        <v>0</v>
      </c>
      <c r="AL330" t="s">
        <v>1789</v>
      </c>
      <c r="AM330" t="s">
        <v>1790</v>
      </c>
      <c r="AN330" t="s">
        <v>1791</v>
      </c>
      <c r="AO330" t="s">
        <v>5094</v>
      </c>
      <c r="AP330" t="s">
        <v>74</v>
      </c>
      <c r="AQ330" t="s">
        <v>74</v>
      </c>
      <c r="AR330" t="s">
        <v>5095</v>
      </c>
      <c r="AS330" t="s">
        <v>5096</v>
      </c>
      <c r="AT330" t="s">
        <v>4714</v>
      </c>
      <c r="AU330">
        <v>2003</v>
      </c>
      <c r="AV330">
        <v>39</v>
      </c>
      <c r="AW330">
        <v>4</v>
      </c>
      <c r="AX330" t="s">
        <v>74</v>
      </c>
      <c r="AY330" t="s">
        <v>74</v>
      </c>
      <c r="AZ330" t="s">
        <v>74</v>
      </c>
      <c r="BA330" t="s">
        <v>74</v>
      </c>
      <c r="BB330">
        <v>444</v>
      </c>
      <c r="BC330">
        <v>455</v>
      </c>
      <c r="BD330" t="s">
        <v>74</v>
      </c>
      <c r="BE330" t="s">
        <v>74</v>
      </c>
      <c r="BF330" t="s">
        <v>74</v>
      </c>
      <c r="BG330" t="s">
        <v>74</v>
      </c>
      <c r="BH330" t="s">
        <v>74</v>
      </c>
      <c r="BI330">
        <v>12</v>
      </c>
      <c r="BJ330" t="s">
        <v>5097</v>
      </c>
      <c r="BK330" t="s">
        <v>94</v>
      </c>
      <c r="BL330" t="s">
        <v>5097</v>
      </c>
      <c r="BM330" t="s">
        <v>5098</v>
      </c>
      <c r="BN330" t="s">
        <v>74</v>
      </c>
      <c r="BO330" t="s">
        <v>74</v>
      </c>
      <c r="BP330" t="s">
        <v>74</v>
      </c>
      <c r="BQ330" t="s">
        <v>74</v>
      </c>
      <c r="BR330" t="s">
        <v>97</v>
      </c>
      <c r="BS330" t="s">
        <v>5099</v>
      </c>
      <c r="BT330" t="str">
        <f>HYPERLINK("https%3A%2F%2Fwww.webofscience.com%2Fwos%2Fwoscc%2Ffull-record%2FWOS:000184767600006","View Full Record in Web of Science")</f>
        <v>View Full Record in Web of Science</v>
      </c>
    </row>
    <row r="331" spans="1:72" x14ac:dyDescent="0.15">
      <c r="A331" t="s">
        <v>72</v>
      </c>
      <c r="B331" t="s">
        <v>5100</v>
      </c>
      <c r="C331" t="s">
        <v>74</v>
      </c>
      <c r="D331" t="s">
        <v>74</v>
      </c>
      <c r="E331" t="s">
        <v>74</v>
      </c>
      <c r="F331" t="s">
        <v>5100</v>
      </c>
      <c r="G331" t="s">
        <v>74</v>
      </c>
      <c r="H331" t="s">
        <v>74</v>
      </c>
      <c r="I331" t="s">
        <v>5101</v>
      </c>
      <c r="J331" t="s">
        <v>1963</v>
      </c>
      <c r="K331" t="s">
        <v>74</v>
      </c>
      <c r="L331" t="s">
        <v>74</v>
      </c>
      <c r="M331" t="s">
        <v>77</v>
      </c>
      <c r="N331" t="s">
        <v>78</v>
      </c>
      <c r="O331" t="s">
        <v>74</v>
      </c>
      <c r="P331" t="s">
        <v>74</v>
      </c>
      <c r="Q331" t="s">
        <v>74</v>
      </c>
      <c r="R331" t="s">
        <v>74</v>
      </c>
      <c r="S331" t="s">
        <v>74</v>
      </c>
      <c r="T331" t="s">
        <v>5102</v>
      </c>
      <c r="U331" t="s">
        <v>5103</v>
      </c>
      <c r="V331" t="s">
        <v>5104</v>
      </c>
      <c r="W331" t="s">
        <v>5105</v>
      </c>
      <c r="X331" t="s">
        <v>1478</v>
      </c>
      <c r="Y331" t="s">
        <v>5106</v>
      </c>
      <c r="Z331" t="s">
        <v>5107</v>
      </c>
      <c r="AA331" t="s">
        <v>5108</v>
      </c>
      <c r="AB331" t="s">
        <v>5109</v>
      </c>
      <c r="AC331" t="s">
        <v>74</v>
      </c>
      <c r="AD331" t="s">
        <v>74</v>
      </c>
      <c r="AE331" t="s">
        <v>74</v>
      </c>
      <c r="AF331" t="s">
        <v>74</v>
      </c>
      <c r="AG331">
        <v>60</v>
      </c>
      <c r="AH331">
        <v>144</v>
      </c>
      <c r="AI331">
        <v>158</v>
      </c>
      <c r="AJ331">
        <v>0</v>
      </c>
      <c r="AK331">
        <v>66</v>
      </c>
      <c r="AL331" t="s">
        <v>250</v>
      </c>
      <c r="AM331" t="s">
        <v>251</v>
      </c>
      <c r="AN331" t="s">
        <v>252</v>
      </c>
      <c r="AO331" t="s">
        <v>1973</v>
      </c>
      <c r="AP331" t="s">
        <v>1974</v>
      </c>
      <c r="AQ331" t="s">
        <v>74</v>
      </c>
      <c r="AR331" t="s">
        <v>1975</v>
      </c>
      <c r="AS331" t="s">
        <v>1976</v>
      </c>
      <c r="AT331" t="s">
        <v>4604</v>
      </c>
      <c r="AU331">
        <v>2003</v>
      </c>
      <c r="AV331">
        <v>72</v>
      </c>
      <c r="AW331">
        <v>4</v>
      </c>
      <c r="AX331" t="s">
        <v>74</v>
      </c>
      <c r="AY331" t="s">
        <v>74</v>
      </c>
      <c r="AZ331" t="s">
        <v>74</v>
      </c>
      <c r="BA331" t="s">
        <v>74</v>
      </c>
      <c r="BB331">
        <v>576</v>
      </c>
      <c r="BC331">
        <v>587</v>
      </c>
      <c r="BD331" t="s">
        <v>74</v>
      </c>
      <c r="BE331" t="s">
        <v>5110</v>
      </c>
      <c r="BF331" t="str">
        <f>HYPERLINK("http://dx.doi.org/10.1046/j.1365-2656.2003.00727.x","http://dx.doi.org/10.1046/j.1365-2656.2003.00727.x")</f>
        <v>http://dx.doi.org/10.1046/j.1365-2656.2003.00727.x</v>
      </c>
      <c r="BG331" t="s">
        <v>74</v>
      </c>
      <c r="BH331" t="s">
        <v>74</v>
      </c>
      <c r="BI331">
        <v>12</v>
      </c>
      <c r="BJ331" t="s">
        <v>1978</v>
      </c>
      <c r="BK331" t="s">
        <v>94</v>
      </c>
      <c r="BL331" t="s">
        <v>1979</v>
      </c>
      <c r="BM331" t="s">
        <v>5111</v>
      </c>
      <c r="BN331">
        <v>30893965</v>
      </c>
      <c r="BO331" t="s">
        <v>74</v>
      </c>
      <c r="BP331" t="s">
        <v>74</v>
      </c>
      <c r="BQ331" t="s">
        <v>74</v>
      </c>
      <c r="BR331" t="s">
        <v>97</v>
      </c>
      <c r="BS331" t="s">
        <v>5112</v>
      </c>
      <c r="BT331" t="str">
        <f>HYPERLINK("https%3A%2F%2Fwww.webofscience.com%2Fwos%2Fwoscc%2Ffull-record%2FWOS:000183969600005","View Full Record in Web of Science")</f>
        <v>View Full Record in Web of Science</v>
      </c>
    </row>
    <row r="332" spans="1:72" x14ac:dyDescent="0.15">
      <c r="A332" t="s">
        <v>72</v>
      </c>
      <c r="B332" t="s">
        <v>5113</v>
      </c>
      <c r="C332" t="s">
        <v>74</v>
      </c>
      <c r="D332" t="s">
        <v>74</v>
      </c>
      <c r="E332" t="s">
        <v>74</v>
      </c>
      <c r="F332" t="s">
        <v>5113</v>
      </c>
      <c r="G332" t="s">
        <v>74</v>
      </c>
      <c r="H332" t="s">
        <v>74</v>
      </c>
      <c r="I332" t="s">
        <v>5114</v>
      </c>
      <c r="J332" t="s">
        <v>5115</v>
      </c>
      <c r="K332" t="s">
        <v>74</v>
      </c>
      <c r="L332" t="s">
        <v>74</v>
      </c>
      <c r="M332" t="s">
        <v>77</v>
      </c>
      <c r="N332" t="s">
        <v>78</v>
      </c>
      <c r="O332" t="s">
        <v>74</v>
      </c>
      <c r="P332" t="s">
        <v>74</v>
      </c>
      <c r="Q332" t="s">
        <v>74</v>
      </c>
      <c r="R332" t="s">
        <v>74</v>
      </c>
      <c r="S332" t="s">
        <v>74</v>
      </c>
      <c r="T332" t="s">
        <v>5116</v>
      </c>
      <c r="U332" t="s">
        <v>5117</v>
      </c>
      <c r="V332" t="s">
        <v>5118</v>
      </c>
      <c r="W332" t="s">
        <v>5119</v>
      </c>
      <c r="X332" t="s">
        <v>5120</v>
      </c>
      <c r="Y332" t="s">
        <v>5121</v>
      </c>
      <c r="Z332" t="s">
        <v>74</v>
      </c>
      <c r="AA332" t="s">
        <v>74</v>
      </c>
      <c r="AB332" t="s">
        <v>74</v>
      </c>
      <c r="AC332" t="s">
        <v>74</v>
      </c>
      <c r="AD332" t="s">
        <v>74</v>
      </c>
      <c r="AE332" t="s">
        <v>74</v>
      </c>
      <c r="AF332" t="s">
        <v>74</v>
      </c>
      <c r="AG332">
        <v>44</v>
      </c>
      <c r="AH332">
        <v>63</v>
      </c>
      <c r="AI332">
        <v>71</v>
      </c>
      <c r="AJ332">
        <v>0</v>
      </c>
      <c r="AK332">
        <v>22</v>
      </c>
      <c r="AL332" t="s">
        <v>289</v>
      </c>
      <c r="AM332" t="s">
        <v>170</v>
      </c>
      <c r="AN332" t="s">
        <v>290</v>
      </c>
      <c r="AO332" t="s">
        <v>5122</v>
      </c>
      <c r="AP332" t="s">
        <v>74</v>
      </c>
      <c r="AQ332" t="s">
        <v>74</v>
      </c>
      <c r="AR332" t="s">
        <v>5123</v>
      </c>
      <c r="AS332" t="s">
        <v>5124</v>
      </c>
      <c r="AT332" t="s">
        <v>4604</v>
      </c>
      <c r="AU332">
        <v>2003</v>
      </c>
      <c r="AV332">
        <v>30</v>
      </c>
      <c r="AW332">
        <v>7</v>
      </c>
      <c r="AX332" t="s">
        <v>74</v>
      </c>
      <c r="AY332" t="s">
        <v>74</v>
      </c>
      <c r="AZ332" t="s">
        <v>74</v>
      </c>
      <c r="BA332" t="s">
        <v>74</v>
      </c>
      <c r="BB332">
        <v>979</v>
      </c>
      <c r="BC332">
        <v>987</v>
      </c>
      <c r="BD332" t="s">
        <v>74</v>
      </c>
      <c r="BE332" t="s">
        <v>5125</v>
      </c>
      <c r="BF332" t="str">
        <f>HYPERLINK("http://dx.doi.org/10.1046/j.1365-2699.2003.00895.x","http://dx.doi.org/10.1046/j.1365-2699.2003.00895.x")</f>
        <v>http://dx.doi.org/10.1046/j.1365-2699.2003.00895.x</v>
      </c>
      <c r="BG332" t="s">
        <v>74</v>
      </c>
      <c r="BH332" t="s">
        <v>74</v>
      </c>
      <c r="BI332">
        <v>9</v>
      </c>
      <c r="BJ332" t="s">
        <v>5126</v>
      </c>
      <c r="BK332" t="s">
        <v>94</v>
      </c>
      <c r="BL332" t="s">
        <v>3166</v>
      </c>
      <c r="BM332" t="s">
        <v>5127</v>
      </c>
      <c r="BN332" t="s">
        <v>74</v>
      </c>
      <c r="BO332" t="s">
        <v>74</v>
      </c>
      <c r="BP332" t="s">
        <v>74</v>
      </c>
      <c r="BQ332" t="s">
        <v>74</v>
      </c>
      <c r="BR332" t="s">
        <v>97</v>
      </c>
      <c r="BS332" t="s">
        <v>5128</v>
      </c>
      <c r="BT332" t="str">
        <f>HYPERLINK("https%3A%2F%2Fwww.webofscience.com%2Fwos%2Fwoscc%2Ffull-record%2FWOS:000183759100002","View Full Record in Web of Science")</f>
        <v>View Full Record in Web of Science</v>
      </c>
    </row>
    <row r="333" spans="1:72" x14ac:dyDescent="0.15">
      <c r="A333" t="s">
        <v>72</v>
      </c>
      <c r="B333" t="s">
        <v>5129</v>
      </c>
      <c r="C333" t="s">
        <v>74</v>
      </c>
      <c r="D333" t="s">
        <v>74</v>
      </c>
      <c r="E333" t="s">
        <v>74</v>
      </c>
      <c r="F333" t="s">
        <v>5129</v>
      </c>
      <c r="G333" t="s">
        <v>74</v>
      </c>
      <c r="H333" t="s">
        <v>74</v>
      </c>
      <c r="I333" t="s">
        <v>5130</v>
      </c>
      <c r="J333" t="s">
        <v>124</v>
      </c>
      <c r="K333" t="s">
        <v>74</v>
      </c>
      <c r="L333" t="s">
        <v>74</v>
      </c>
      <c r="M333" t="s">
        <v>77</v>
      </c>
      <c r="N333" t="s">
        <v>78</v>
      </c>
      <c r="O333" t="s">
        <v>74</v>
      </c>
      <c r="P333" t="s">
        <v>74</v>
      </c>
      <c r="Q333" t="s">
        <v>74</v>
      </c>
      <c r="R333" t="s">
        <v>74</v>
      </c>
      <c r="S333" t="s">
        <v>74</v>
      </c>
      <c r="T333" t="s">
        <v>5131</v>
      </c>
      <c r="U333" t="s">
        <v>5132</v>
      </c>
      <c r="V333" t="s">
        <v>5133</v>
      </c>
      <c r="W333" t="s">
        <v>5134</v>
      </c>
      <c r="X333" t="s">
        <v>5135</v>
      </c>
      <c r="Y333" t="s">
        <v>5136</v>
      </c>
      <c r="Z333" t="s">
        <v>5137</v>
      </c>
      <c r="AA333" t="s">
        <v>74</v>
      </c>
      <c r="AB333" t="s">
        <v>74</v>
      </c>
      <c r="AC333" t="s">
        <v>74</v>
      </c>
      <c r="AD333" t="s">
        <v>74</v>
      </c>
      <c r="AE333" t="s">
        <v>74</v>
      </c>
      <c r="AF333" t="s">
        <v>74</v>
      </c>
      <c r="AG333">
        <v>47</v>
      </c>
      <c r="AH333">
        <v>22</v>
      </c>
      <c r="AI333">
        <v>27</v>
      </c>
      <c r="AJ333">
        <v>0</v>
      </c>
      <c r="AK333">
        <v>27</v>
      </c>
      <c r="AL333" t="s">
        <v>3773</v>
      </c>
      <c r="AM333" t="s">
        <v>132</v>
      </c>
      <c r="AN333" t="s">
        <v>3774</v>
      </c>
      <c r="AO333" t="s">
        <v>134</v>
      </c>
      <c r="AP333" t="s">
        <v>3775</v>
      </c>
      <c r="AQ333" t="s">
        <v>74</v>
      </c>
      <c r="AR333" t="s">
        <v>135</v>
      </c>
      <c r="AS333" t="s">
        <v>136</v>
      </c>
      <c r="AT333" t="s">
        <v>4604</v>
      </c>
      <c r="AU333">
        <v>2003</v>
      </c>
      <c r="AV333">
        <v>206</v>
      </c>
      <c r="AW333">
        <v>13</v>
      </c>
      <c r="AX333" t="s">
        <v>74</v>
      </c>
      <c r="AY333" t="s">
        <v>74</v>
      </c>
      <c r="AZ333" t="s">
        <v>74</v>
      </c>
      <c r="BA333" t="s">
        <v>74</v>
      </c>
      <c r="BB333">
        <v>2125</v>
      </c>
      <c r="BC333">
        <v>2133</v>
      </c>
      <c r="BD333" t="s">
        <v>74</v>
      </c>
      <c r="BE333" t="s">
        <v>5138</v>
      </c>
      <c r="BF333" t="str">
        <f>HYPERLINK("http://dx.doi.org/10.1242/jeb.00394","http://dx.doi.org/10.1242/jeb.00394")</f>
        <v>http://dx.doi.org/10.1242/jeb.00394</v>
      </c>
      <c r="BG333" t="s">
        <v>74</v>
      </c>
      <c r="BH333" t="s">
        <v>74</v>
      </c>
      <c r="BI333">
        <v>9</v>
      </c>
      <c r="BJ333" t="s">
        <v>138</v>
      </c>
      <c r="BK333" t="s">
        <v>94</v>
      </c>
      <c r="BL333" t="s">
        <v>139</v>
      </c>
      <c r="BM333" t="s">
        <v>5139</v>
      </c>
      <c r="BN333">
        <v>12771162</v>
      </c>
      <c r="BO333" t="s">
        <v>154</v>
      </c>
      <c r="BP333" t="s">
        <v>74</v>
      </c>
      <c r="BQ333" t="s">
        <v>74</v>
      </c>
      <c r="BR333" t="s">
        <v>97</v>
      </c>
      <c r="BS333" t="s">
        <v>5140</v>
      </c>
      <c r="BT333" t="str">
        <f>HYPERLINK("https%3A%2F%2Fwww.webofscience.com%2Fwos%2Fwoscc%2Ffull-record%2FWOS:000184173000013","View Full Record in Web of Science")</f>
        <v>View Full Record in Web of Science</v>
      </c>
    </row>
    <row r="334" spans="1:72" x14ac:dyDescent="0.15">
      <c r="A334" t="s">
        <v>72</v>
      </c>
      <c r="B334" t="s">
        <v>5141</v>
      </c>
      <c r="C334" t="s">
        <v>74</v>
      </c>
      <c r="D334" t="s">
        <v>74</v>
      </c>
      <c r="E334" t="s">
        <v>74</v>
      </c>
      <c r="F334" t="s">
        <v>5141</v>
      </c>
      <c r="G334" t="s">
        <v>74</v>
      </c>
      <c r="H334" t="s">
        <v>74</v>
      </c>
      <c r="I334" t="s">
        <v>5142</v>
      </c>
      <c r="J334" t="s">
        <v>5143</v>
      </c>
      <c r="K334" t="s">
        <v>74</v>
      </c>
      <c r="L334" t="s">
        <v>74</v>
      </c>
      <c r="M334" t="s">
        <v>77</v>
      </c>
      <c r="N334" t="s">
        <v>556</v>
      </c>
      <c r="O334" t="s">
        <v>74</v>
      </c>
      <c r="P334" t="s">
        <v>74</v>
      </c>
      <c r="Q334" t="s">
        <v>74</v>
      </c>
      <c r="R334" t="s">
        <v>74</v>
      </c>
      <c r="S334" t="s">
        <v>74</v>
      </c>
      <c r="T334" t="s">
        <v>5144</v>
      </c>
      <c r="U334" t="s">
        <v>5145</v>
      </c>
      <c r="V334" t="s">
        <v>5146</v>
      </c>
      <c r="W334" t="s">
        <v>5147</v>
      </c>
      <c r="X334" t="s">
        <v>706</v>
      </c>
      <c r="Y334" t="s">
        <v>5148</v>
      </c>
      <c r="Z334" t="s">
        <v>5149</v>
      </c>
      <c r="AA334" t="s">
        <v>74</v>
      </c>
      <c r="AB334" t="s">
        <v>74</v>
      </c>
      <c r="AC334" t="s">
        <v>74</v>
      </c>
      <c r="AD334" t="s">
        <v>74</v>
      </c>
      <c r="AE334" t="s">
        <v>74</v>
      </c>
      <c r="AF334" t="s">
        <v>74</v>
      </c>
      <c r="AG334">
        <v>151</v>
      </c>
      <c r="AH334">
        <v>27</v>
      </c>
      <c r="AI334">
        <v>33</v>
      </c>
      <c r="AJ334">
        <v>2</v>
      </c>
      <c r="AK334">
        <v>15</v>
      </c>
      <c r="AL334" t="s">
        <v>250</v>
      </c>
      <c r="AM334" t="s">
        <v>251</v>
      </c>
      <c r="AN334" t="s">
        <v>252</v>
      </c>
      <c r="AO334" t="s">
        <v>5150</v>
      </c>
      <c r="AP334" t="s">
        <v>5151</v>
      </c>
      <c r="AQ334" t="s">
        <v>74</v>
      </c>
      <c r="AR334" t="s">
        <v>5152</v>
      </c>
      <c r="AS334" t="s">
        <v>5153</v>
      </c>
      <c r="AT334" t="s">
        <v>4604</v>
      </c>
      <c r="AU334">
        <v>2003</v>
      </c>
      <c r="AV334">
        <v>63</v>
      </c>
      <c r="AW334">
        <v>1</v>
      </c>
      <c r="AX334" t="s">
        <v>74</v>
      </c>
      <c r="AY334" t="s">
        <v>74</v>
      </c>
      <c r="AZ334" t="s">
        <v>74</v>
      </c>
      <c r="BA334" t="s">
        <v>74</v>
      </c>
      <c r="BB334">
        <v>1</v>
      </c>
      <c r="BC334">
        <v>21</v>
      </c>
      <c r="BD334" t="s">
        <v>74</v>
      </c>
      <c r="BE334" t="s">
        <v>5154</v>
      </c>
      <c r="BF334" t="str">
        <f>HYPERLINK("http://dx.doi.org/10.1046/j.1095-8649.2003.00150.x","http://dx.doi.org/10.1046/j.1095-8649.2003.00150.x")</f>
        <v>http://dx.doi.org/10.1046/j.1095-8649.2003.00150.x</v>
      </c>
      <c r="BG334" t="s">
        <v>74</v>
      </c>
      <c r="BH334" t="s">
        <v>74</v>
      </c>
      <c r="BI334">
        <v>21</v>
      </c>
      <c r="BJ334" t="s">
        <v>4657</v>
      </c>
      <c r="BK334" t="s">
        <v>94</v>
      </c>
      <c r="BL334" t="s">
        <v>4657</v>
      </c>
      <c r="BM334" t="s">
        <v>5155</v>
      </c>
      <c r="BN334" t="s">
        <v>74</v>
      </c>
      <c r="BO334" t="s">
        <v>74</v>
      </c>
      <c r="BP334" t="s">
        <v>74</v>
      </c>
      <c r="BQ334" t="s">
        <v>74</v>
      </c>
      <c r="BR334" t="s">
        <v>97</v>
      </c>
      <c r="BS334" t="s">
        <v>5156</v>
      </c>
      <c r="BT334" t="str">
        <f>HYPERLINK("https%3A%2F%2Fwww.webofscience.com%2Fwos%2Fwoscc%2Ffull-record%2FWOS:000185632600001","View Full Record in Web of Science")</f>
        <v>View Full Record in Web of Science</v>
      </c>
    </row>
    <row r="335" spans="1:72" x14ac:dyDescent="0.15">
      <c r="A335" t="s">
        <v>72</v>
      </c>
      <c r="B335" t="s">
        <v>5157</v>
      </c>
      <c r="C335" t="s">
        <v>74</v>
      </c>
      <c r="D335" t="s">
        <v>74</v>
      </c>
      <c r="E335" t="s">
        <v>74</v>
      </c>
      <c r="F335" t="s">
        <v>5157</v>
      </c>
      <c r="G335" t="s">
        <v>74</v>
      </c>
      <c r="H335" t="s">
        <v>74</v>
      </c>
      <c r="I335" t="s">
        <v>5158</v>
      </c>
      <c r="J335" t="s">
        <v>5143</v>
      </c>
      <c r="K335" t="s">
        <v>74</v>
      </c>
      <c r="L335" t="s">
        <v>74</v>
      </c>
      <c r="M335" t="s">
        <v>77</v>
      </c>
      <c r="N335" t="s">
        <v>78</v>
      </c>
      <c r="O335" t="s">
        <v>74</v>
      </c>
      <c r="P335" t="s">
        <v>74</v>
      </c>
      <c r="Q335" t="s">
        <v>74</v>
      </c>
      <c r="R335" t="s">
        <v>74</v>
      </c>
      <c r="S335" t="s">
        <v>74</v>
      </c>
      <c r="T335" t="s">
        <v>5159</v>
      </c>
      <c r="U335" t="s">
        <v>5160</v>
      </c>
      <c r="V335" t="s">
        <v>5161</v>
      </c>
      <c r="W335" t="s">
        <v>5162</v>
      </c>
      <c r="X335" t="s">
        <v>5163</v>
      </c>
      <c r="Y335" t="s">
        <v>5164</v>
      </c>
      <c r="Z335" t="s">
        <v>74</v>
      </c>
      <c r="AA335" t="s">
        <v>5165</v>
      </c>
      <c r="AB335" t="s">
        <v>5166</v>
      </c>
      <c r="AC335" t="s">
        <v>74</v>
      </c>
      <c r="AD335" t="s">
        <v>74</v>
      </c>
      <c r="AE335" t="s">
        <v>74</v>
      </c>
      <c r="AF335" t="s">
        <v>74</v>
      </c>
      <c r="AG335">
        <v>19</v>
      </c>
      <c r="AH335">
        <v>11</v>
      </c>
      <c r="AI335">
        <v>11</v>
      </c>
      <c r="AJ335">
        <v>0</v>
      </c>
      <c r="AK335">
        <v>5</v>
      </c>
      <c r="AL335" t="s">
        <v>289</v>
      </c>
      <c r="AM335" t="s">
        <v>170</v>
      </c>
      <c r="AN335" t="s">
        <v>290</v>
      </c>
      <c r="AO335" t="s">
        <v>5150</v>
      </c>
      <c r="AP335" t="s">
        <v>74</v>
      </c>
      <c r="AQ335" t="s">
        <v>74</v>
      </c>
      <c r="AR335" t="s">
        <v>5152</v>
      </c>
      <c r="AS335" t="s">
        <v>5153</v>
      </c>
      <c r="AT335" t="s">
        <v>4604</v>
      </c>
      <c r="AU335">
        <v>2003</v>
      </c>
      <c r="AV335">
        <v>63</v>
      </c>
      <c r="AW335">
        <v>1</v>
      </c>
      <c r="AX335" t="s">
        <v>74</v>
      </c>
      <c r="AY335" t="s">
        <v>74</v>
      </c>
      <c r="AZ335" t="s">
        <v>74</v>
      </c>
      <c r="BA335" t="s">
        <v>74</v>
      </c>
      <c r="BB335">
        <v>129</v>
      </c>
      <c r="BC335">
        <v>136</v>
      </c>
      <c r="BD335" t="s">
        <v>74</v>
      </c>
      <c r="BE335" t="s">
        <v>5167</v>
      </c>
      <c r="BF335" t="str">
        <f>HYPERLINK("http://dx.doi.org/10.1046/j.1095-8649.2003.00135.x","http://dx.doi.org/10.1046/j.1095-8649.2003.00135.x")</f>
        <v>http://dx.doi.org/10.1046/j.1095-8649.2003.00135.x</v>
      </c>
      <c r="BG335" t="s">
        <v>74</v>
      </c>
      <c r="BH335" t="s">
        <v>74</v>
      </c>
      <c r="BI335">
        <v>8</v>
      </c>
      <c r="BJ335" t="s">
        <v>4657</v>
      </c>
      <c r="BK335" t="s">
        <v>94</v>
      </c>
      <c r="BL335" t="s">
        <v>4657</v>
      </c>
      <c r="BM335" t="s">
        <v>5155</v>
      </c>
      <c r="BN335" t="s">
        <v>74</v>
      </c>
      <c r="BO335" t="s">
        <v>74</v>
      </c>
      <c r="BP335" t="s">
        <v>74</v>
      </c>
      <c r="BQ335" t="s">
        <v>74</v>
      </c>
      <c r="BR335" t="s">
        <v>97</v>
      </c>
      <c r="BS335" t="s">
        <v>5168</v>
      </c>
      <c r="BT335" t="str">
        <f>HYPERLINK("https%3A%2F%2Fwww.webofscience.com%2Fwos%2Fwoscc%2Ffull-record%2FWOS:000185632600010","View Full Record in Web of Science")</f>
        <v>View Full Record in Web of Science</v>
      </c>
    </row>
    <row r="336" spans="1:72" x14ac:dyDescent="0.15">
      <c r="A336" t="s">
        <v>72</v>
      </c>
      <c r="B336" t="s">
        <v>5169</v>
      </c>
      <c r="C336" t="s">
        <v>74</v>
      </c>
      <c r="D336" t="s">
        <v>74</v>
      </c>
      <c r="E336" t="s">
        <v>74</v>
      </c>
      <c r="F336" t="s">
        <v>5169</v>
      </c>
      <c r="G336" t="s">
        <v>74</v>
      </c>
      <c r="H336" t="s">
        <v>74</v>
      </c>
      <c r="I336" t="s">
        <v>5170</v>
      </c>
      <c r="J336" t="s">
        <v>665</v>
      </c>
      <c r="K336" t="s">
        <v>74</v>
      </c>
      <c r="L336" t="s">
        <v>74</v>
      </c>
      <c r="M336" t="s">
        <v>77</v>
      </c>
      <c r="N336" t="s">
        <v>78</v>
      </c>
      <c r="O336" t="s">
        <v>74</v>
      </c>
      <c r="P336" t="s">
        <v>74</v>
      </c>
      <c r="Q336" t="s">
        <v>74</v>
      </c>
      <c r="R336" t="s">
        <v>74</v>
      </c>
      <c r="S336" t="s">
        <v>74</v>
      </c>
      <c r="T336" t="s">
        <v>5171</v>
      </c>
      <c r="U336" t="s">
        <v>5172</v>
      </c>
      <c r="V336" t="s">
        <v>5173</v>
      </c>
      <c r="W336" t="s">
        <v>5174</v>
      </c>
      <c r="X336" t="s">
        <v>5175</v>
      </c>
      <c r="Y336" t="s">
        <v>5176</v>
      </c>
      <c r="Z336" t="s">
        <v>5177</v>
      </c>
      <c r="AA336" t="s">
        <v>5178</v>
      </c>
      <c r="AB336" t="s">
        <v>5179</v>
      </c>
      <c r="AC336" t="s">
        <v>74</v>
      </c>
      <c r="AD336" t="s">
        <v>74</v>
      </c>
      <c r="AE336" t="s">
        <v>74</v>
      </c>
      <c r="AF336" t="s">
        <v>74</v>
      </c>
      <c r="AG336">
        <v>48</v>
      </c>
      <c r="AH336">
        <v>43</v>
      </c>
      <c r="AI336">
        <v>46</v>
      </c>
      <c r="AJ336">
        <v>0</v>
      </c>
      <c r="AK336">
        <v>11</v>
      </c>
      <c r="AL336" t="s">
        <v>539</v>
      </c>
      <c r="AM336" t="s">
        <v>540</v>
      </c>
      <c r="AN336" t="s">
        <v>541</v>
      </c>
      <c r="AO336" t="s">
        <v>672</v>
      </c>
      <c r="AP336" t="s">
        <v>673</v>
      </c>
      <c r="AQ336" t="s">
        <v>74</v>
      </c>
      <c r="AR336" t="s">
        <v>674</v>
      </c>
      <c r="AS336" t="s">
        <v>675</v>
      </c>
      <c r="AT336" t="s">
        <v>4925</v>
      </c>
      <c r="AU336">
        <v>2003</v>
      </c>
      <c r="AV336">
        <v>108</v>
      </c>
      <c r="AW336" t="s">
        <v>4238</v>
      </c>
      <c r="AX336" t="s">
        <v>74</v>
      </c>
      <c r="AY336" t="s">
        <v>74</v>
      </c>
      <c r="AZ336" t="s">
        <v>74</v>
      </c>
      <c r="BA336" t="s">
        <v>74</v>
      </c>
      <c r="BB336" t="s">
        <v>74</v>
      </c>
      <c r="BC336" t="s">
        <v>74</v>
      </c>
      <c r="BD336">
        <v>3209</v>
      </c>
      <c r="BE336" t="s">
        <v>5180</v>
      </c>
      <c r="BF336" t="str">
        <f>HYPERLINK("http://dx.doi.org/10.1029/2002JC001373","http://dx.doi.org/10.1029/2002JC001373")</f>
        <v>http://dx.doi.org/10.1029/2002JC001373</v>
      </c>
      <c r="BG336" t="s">
        <v>74</v>
      </c>
      <c r="BH336" t="s">
        <v>74</v>
      </c>
      <c r="BI336">
        <v>13</v>
      </c>
      <c r="BJ336" t="s">
        <v>678</v>
      </c>
      <c r="BK336" t="s">
        <v>94</v>
      </c>
      <c r="BL336" t="s">
        <v>678</v>
      </c>
      <c r="BM336" t="s">
        <v>5181</v>
      </c>
      <c r="BN336" t="s">
        <v>74</v>
      </c>
      <c r="BO336" t="s">
        <v>96</v>
      </c>
      <c r="BP336" t="s">
        <v>74</v>
      </c>
      <c r="BQ336" t="s">
        <v>74</v>
      </c>
      <c r="BR336" t="s">
        <v>97</v>
      </c>
      <c r="BS336" t="s">
        <v>5182</v>
      </c>
      <c r="BT336" t="str">
        <f>HYPERLINK("https%3A%2F%2Fwww.webofscience.com%2Fwos%2Fwoscc%2Ffull-record%2FWOS:000184004200002","View Full Record in Web of Science")</f>
        <v>View Full Record in Web of Science</v>
      </c>
    </row>
    <row r="337" spans="1:72" x14ac:dyDescent="0.15">
      <c r="A337" t="s">
        <v>72</v>
      </c>
      <c r="B337" t="s">
        <v>5183</v>
      </c>
      <c r="C337" t="s">
        <v>74</v>
      </c>
      <c r="D337" t="s">
        <v>74</v>
      </c>
      <c r="E337" t="s">
        <v>74</v>
      </c>
      <c r="F337" t="s">
        <v>5183</v>
      </c>
      <c r="G337" t="s">
        <v>74</v>
      </c>
      <c r="H337" t="s">
        <v>74</v>
      </c>
      <c r="I337" t="s">
        <v>5184</v>
      </c>
      <c r="J337" t="s">
        <v>5185</v>
      </c>
      <c r="K337" t="s">
        <v>74</v>
      </c>
      <c r="L337" t="s">
        <v>74</v>
      </c>
      <c r="M337" t="s">
        <v>77</v>
      </c>
      <c r="N337" t="s">
        <v>78</v>
      </c>
      <c r="O337" t="s">
        <v>74</v>
      </c>
      <c r="P337" t="s">
        <v>74</v>
      </c>
      <c r="Q337" t="s">
        <v>74</v>
      </c>
      <c r="R337" t="s">
        <v>74</v>
      </c>
      <c r="S337" t="s">
        <v>74</v>
      </c>
      <c r="T337" t="s">
        <v>74</v>
      </c>
      <c r="U337" t="s">
        <v>5186</v>
      </c>
      <c r="V337" t="s">
        <v>5187</v>
      </c>
      <c r="W337" t="s">
        <v>5188</v>
      </c>
      <c r="X337" t="s">
        <v>5189</v>
      </c>
      <c r="Y337" t="s">
        <v>5190</v>
      </c>
      <c r="Z337" t="s">
        <v>74</v>
      </c>
      <c r="AA337" t="s">
        <v>74</v>
      </c>
      <c r="AB337" t="s">
        <v>5191</v>
      </c>
      <c r="AC337" t="s">
        <v>74</v>
      </c>
      <c r="AD337" t="s">
        <v>74</v>
      </c>
      <c r="AE337" t="s">
        <v>74</v>
      </c>
      <c r="AF337" t="s">
        <v>74</v>
      </c>
      <c r="AG337">
        <v>28</v>
      </c>
      <c r="AH337">
        <v>6</v>
      </c>
      <c r="AI337">
        <v>6</v>
      </c>
      <c r="AJ337">
        <v>0</v>
      </c>
      <c r="AK337">
        <v>2</v>
      </c>
      <c r="AL337" t="s">
        <v>5192</v>
      </c>
      <c r="AM337" t="s">
        <v>5193</v>
      </c>
      <c r="AN337" t="s">
        <v>5194</v>
      </c>
      <c r="AO337" t="s">
        <v>5195</v>
      </c>
      <c r="AP337" t="s">
        <v>74</v>
      </c>
      <c r="AQ337" t="s">
        <v>74</v>
      </c>
      <c r="AR337" t="s">
        <v>5196</v>
      </c>
      <c r="AS337" t="s">
        <v>5197</v>
      </c>
      <c r="AT337" t="s">
        <v>4604</v>
      </c>
      <c r="AU337">
        <v>2003</v>
      </c>
      <c r="AV337">
        <v>61</v>
      </c>
      <c r="AW337">
        <v>4</v>
      </c>
      <c r="AX337" t="s">
        <v>74</v>
      </c>
      <c r="AY337" t="s">
        <v>74</v>
      </c>
      <c r="AZ337" t="s">
        <v>74</v>
      </c>
      <c r="BA337" t="s">
        <v>74</v>
      </c>
      <c r="BB337">
        <v>539</v>
      </c>
      <c r="BC337">
        <v>552</v>
      </c>
      <c r="BD337" t="s">
        <v>74</v>
      </c>
      <c r="BE337" t="s">
        <v>5198</v>
      </c>
      <c r="BF337" t="str">
        <f>HYPERLINK("http://dx.doi.org/10.1357/002224003322384924","http://dx.doi.org/10.1357/002224003322384924")</f>
        <v>http://dx.doi.org/10.1357/002224003322384924</v>
      </c>
      <c r="BG337" t="s">
        <v>74</v>
      </c>
      <c r="BH337" t="s">
        <v>74</v>
      </c>
      <c r="BI337">
        <v>14</v>
      </c>
      <c r="BJ337" t="s">
        <v>678</v>
      </c>
      <c r="BK337" t="s">
        <v>94</v>
      </c>
      <c r="BL337" t="s">
        <v>678</v>
      </c>
      <c r="BM337" t="s">
        <v>5199</v>
      </c>
      <c r="BN337" t="s">
        <v>74</v>
      </c>
      <c r="BO337" t="s">
        <v>74</v>
      </c>
      <c r="BP337" t="s">
        <v>74</v>
      </c>
      <c r="BQ337" t="s">
        <v>74</v>
      </c>
      <c r="BR337" t="s">
        <v>97</v>
      </c>
      <c r="BS337" t="s">
        <v>5200</v>
      </c>
      <c r="BT337" t="str">
        <f>HYPERLINK("https%3A%2F%2Fwww.webofscience.com%2Fwos%2Fwoscc%2Ffull-record%2FWOS:000185682600006","View Full Record in Web of Science")</f>
        <v>View Full Record in Web of Science</v>
      </c>
    </row>
    <row r="338" spans="1:72" x14ac:dyDescent="0.15">
      <c r="A338" t="s">
        <v>72</v>
      </c>
      <c r="B338" t="s">
        <v>5201</v>
      </c>
      <c r="C338" t="s">
        <v>74</v>
      </c>
      <c r="D338" t="s">
        <v>74</v>
      </c>
      <c r="E338" t="s">
        <v>74</v>
      </c>
      <c r="F338" t="s">
        <v>5201</v>
      </c>
      <c r="G338" t="s">
        <v>74</v>
      </c>
      <c r="H338" t="s">
        <v>74</v>
      </c>
      <c r="I338" t="s">
        <v>5202</v>
      </c>
      <c r="J338" t="s">
        <v>5203</v>
      </c>
      <c r="K338" t="s">
        <v>74</v>
      </c>
      <c r="L338" t="s">
        <v>74</v>
      </c>
      <c r="M338" t="s">
        <v>77</v>
      </c>
      <c r="N338" t="s">
        <v>78</v>
      </c>
      <c r="O338" t="s">
        <v>74</v>
      </c>
      <c r="P338" t="s">
        <v>74</v>
      </c>
      <c r="Q338" t="s">
        <v>74</v>
      </c>
      <c r="R338" t="s">
        <v>74</v>
      </c>
      <c r="S338" t="s">
        <v>74</v>
      </c>
      <c r="T338" t="s">
        <v>5204</v>
      </c>
      <c r="U338" t="s">
        <v>5205</v>
      </c>
      <c r="V338" t="s">
        <v>5206</v>
      </c>
      <c r="W338" t="s">
        <v>5207</v>
      </c>
      <c r="X338" t="s">
        <v>371</v>
      </c>
      <c r="Y338" t="s">
        <v>5208</v>
      </c>
      <c r="Z338" t="s">
        <v>5209</v>
      </c>
      <c r="AA338" t="s">
        <v>74</v>
      </c>
      <c r="AB338" t="s">
        <v>74</v>
      </c>
      <c r="AC338" t="s">
        <v>74</v>
      </c>
      <c r="AD338" t="s">
        <v>74</v>
      </c>
      <c r="AE338" t="s">
        <v>74</v>
      </c>
      <c r="AF338" t="s">
        <v>74</v>
      </c>
      <c r="AG338">
        <v>91</v>
      </c>
      <c r="AH338">
        <v>14</v>
      </c>
      <c r="AI338">
        <v>16</v>
      </c>
      <c r="AJ338">
        <v>0</v>
      </c>
      <c r="AK338">
        <v>7</v>
      </c>
      <c r="AL338" t="s">
        <v>781</v>
      </c>
      <c r="AM338" t="s">
        <v>111</v>
      </c>
      <c r="AN338" t="s">
        <v>782</v>
      </c>
      <c r="AO338" t="s">
        <v>5210</v>
      </c>
      <c r="AP338" t="s">
        <v>5211</v>
      </c>
      <c r="AQ338" t="s">
        <v>74</v>
      </c>
      <c r="AR338" t="s">
        <v>5212</v>
      </c>
      <c r="AS338" t="s">
        <v>5213</v>
      </c>
      <c r="AT338" t="s">
        <v>4604</v>
      </c>
      <c r="AU338">
        <v>2003</v>
      </c>
      <c r="AV338">
        <v>42</v>
      </c>
      <c r="AW338" t="s">
        <v>787</v>
      </c>
      <c r="AX338" t="s">
        <v>74</v>
      </c>
      <c r="AY338" t="s">
        <v>74</v>
      </c>
      <c r="AZ338" t="s">
        <v>74</v>
      </c>
      <c r="BA338" t="s">
        <v>74</v>
      </c>
      <c r="BB338">
        <v>31</v>
      </c>
      <c r="BC338">
        <v>51</v>
      </c>
      <c r="BD338" t="s">
        <v>74</v>
      </c>
      <c r="BE338" t="s">
        <v>5214</v>
      </c>
      <c r="BF338" t="str">
        <f>HYPERLINK("http://dx.doi.org/10.1016/S0924-7963(03)00063-0","http://dx.doi.org/10.1016/S0924-7963(03)00063-0")</f>
        <v>http://dx.doi.org/10.1016/S0924-7963(03)00063-0</v>
      </c>
      <c r="BG338" t="s">
        <v>74</v>
      </c>
      <c r="BH338" t="s">
        <v>74</v>
      </c>
      <c r="BI338">
        <v>21</v>
      </c>
      <c r="BJ338" t="s">
        <v>5215</v>
      </c>
      <c r="BK338" t="s">
        <v>94</v>
      </c>
      <c r="BL338" t="s">
        <v>5216</v>
      </c>
      <c r="BM338" t="s">
        <v>5217</v>
      </c>
      <c r="BN338" t="s">
        <v>74</v>
      </c>
      <c r="BO338" t="s">
        <v>154</v>
      </c>
      <c r="BP338" t="s">
        <v>74</v>
      </c>
      <c r="BQ338" t="s">
        <v>74</v>
      </c>
      <c r="BR338" t="s">
        <v>97</v>
      </c>
      <c r="BS338" t="s">
        <v>5218</v>
      </c>
      <c r="BT338" t="str">
        <f>HYPERLINK("https%3A%2F%2Fwww.webofscience.com%2Fwos%2Fwoscc%2Ffull-record%2FWOS:000184713500003","View Full Record in Web of Science")</f>
        <v>View Full Record in Web of Science</v>
      </c>
    </row>
    <row r="339" spans="1:72" x14ac:dyDescent="0.15">
      <c r="A339" t="s">
        <v>72</v>
      </c>
      <c r="B339" t="s">
        <v>5219</v>
      </c>
      <c r="C339" t="s">
        <v>74</v>
      </c>
      <c r="D339" t="s">
        <v>74</v>
      </c>
      <c r="E339" t="s">
        <v>74</v>
      </c>
      <c r="F339" t="s">
        <v>5219</v>
      </c>
      <c r="G339" t="s">
        <v>74</v>
      </c>
      <c r="H339" t="s">
        <v>74</v>
      </c>
      <c r="I339" t="s">
        <v>5220</v>
      </c>
      <c r="J339" t="s">
        <v>5221</v>
      </c>
      <c r="K339" t="s">
        <v>74</v>
      </c>
      <c r="L339" t="s">
        <v>74</v>
      </c>
      <c r="M339" t="s">
        <v>77</v>
      </c>
      <c r="N339" t="s">
        <v>78</v>
      </c>
      <c r="O339" t="s">
        <v>74</v>
      </c>
      <c r="P339" t="s">
        <v>74</v>
      </c>
      <c r="Q339" t="s">
        <v>74</v>
      </c>
      <c r="R339" t="s">
        <v>74</v>
      </c>
      <c r="S339" t="s">
        <v>74</v>
      </c>
      <c r="T339" t="s">
        <v>5222</v>
      </c>
      <c r="U339" t="s">
        <v>5223</v>
      </c>
      <c r="V339" t="s">
        <v>5224</v>
      </c>
      <c r="W339" t="s">
        <v>5225</v>
      </c>
      <c r="X339" t="s">
        <v>5226</v>
      </c>
      <c r="Y339" t="s">
        <v>5227</v>
      </c>
      <c r="Z339" t="s">
        <v>5228</v>
      </c>
      <c r="AA339" t="s">
        <v>74</v>
      </c>
      <c r="AB339" t="s">
        <v>74</v>
      </c>
      <c r="AC339" t="s">
        <v>74</v>
      </c>
      <c r="AD339" t="s">
        <v>74</v>
      </c>
      <c r="AE339" t="s">
        <v>74</v>
      </c>
      <c r="AF339" t="s">
        <v>74</v>
      </c>
      <c r="AG339">
        <v>45</v>
      </c>
      <c r="AH339">
        <v>14</v>
      </c>
      <c r="AI339">
        <v>16</v>
      </c>
      <c r="AJ339">
        <v>0</v>
      </c>
      <c r="AK339">
        <v>5</v>
      </c>
      <c r="AL339" t="s">
        <v>5229</v>
      </c>
      <c r="AM339" t="s">
        <v>5230</v>
      </c>
      <c r="AN339" t="s">
        <v>5231</v>
      </c>
      <c r="AO339" t="s">
        <v>5232</v>
      </c>
      <c r="AP339" t="s">
        <v>5233</v>
      </c>
      <c r="AQ339" t="s">
        <v>74</v>
      </c>
      <c r="AR339" t="s">
        <v>5234</v>
      </c>
      <c r="AS339" t="s">
        <v>5235</v>
      </c>
      <c r="AT339" t="s">
        <v>4604</v>
      </c>
      <c r="AU339">
        <v>2003</v>
      </c>
      <c r="AV339">
        <v>70</v>
      </c>
      <c r="AW339">
        <v>3</v>
      </c>
      <c r="AX339" t="s">
        <v>74</v>
      </c>
      <c r="AY339" t="s">
        <v>74</v>
      </c>
      <c r="AZ339" t="s">
        <v>74</v>
      </c>
      <c r="BA339" t="s">
        <v>74</v>
      </c>
      <c r="BB339">
        <v>177</v>
      </c>
      <c r="BC339">
        <v>185</v>
      </c>
      <c r="BD339" t="s">
        <v>74</v>
      </c>
      <c r="BE339" t="s">
        <v>5236</v>
      </c>
      <c r="BF339" t="str">
        <f>HYPERLINK("http://dx.doi.org/10.1016/S1011-1344(03)00089-7","http://dx.doi.org/10.1016/S1011-1344(03)00089-7")</f>
        <v>http://dx.doi.org/10.1016/S1011-1344(03)00089-7</v>
      </c>
      <c r="BG339" t="s">
        <v>74</v>
      </c>
      <c r="BH339" t="s">
        <v>74</v>
      </c>
      <c r="BI339">
        <v>9</v>
      </c>
      <c r="BJ339" t="s">
        <v>5237</v>
      </c>
      <c r="BK339" t="s">
        <v>94</v>
      </c>
      <c r="BL339" t="s">
        <v>5237</v>
      </c>
      <c r="BM339" t="s">
        <v>5238</v>
      </c>
      <c r="BN339">
        <v>12962642</v>
      </c>
      <c r="BO339" t="s">
        <v>74</v>
      </c>
      <c r="BP339" t="s">
        <v>74</v>
      </c>
      <c r="BQ339" t="s">
        <v>74</v>
      </c>
      <c r="BR339" t="s">
        <v>97</v>
      </c>
      <c r="BS339" t="s">
        <v>5239</v>
      </c>
      <c r="BT339" t="str">
        <f>HYPERLINK("https%3A%2F%2Fwww.webofscience.com%2Fwos%2Fwoscc%2Ffull-record%2FWOS:000185360500006","View Full Record in Web of Science")</f>
        <v>View Full Record in Web of Science</v>
      </c>
    </row>
    <row r="340" spans="1:72" x14ac:dyDescent="0.15">
      <c r="A340" t="s">
        <v>72</v>
      </c>
      <c r="B340" t="s">
        <v>5240</v>
      </c>
      <c r="C340" t="s">
        <v>74</v>
      </c>
      <c r="D340" t="s">
        <v>74</v>
      </c>
      <c r="E340" t="s">
        <v>74</v>
      </c>
      <c r="F340" t="s">
        <v>5240</v>
      </c>
      <c r="G340" t="s">
        <v>74</v>
      </c>
      <c r="H340" t="s">
        <v>74</v>
      </c>
      <c r="I340" t="s">
        <v>5241</v>
      </c>
      <c r="J340" t="s">
        <v>3874</v>
      </c>
      <c r="K340" t="s">
        <v>74</v>
      </c>
      <c r="L340" t="s">
        <v>74</v>
      </c>
      <c r="M340" t="s">
        <v>77</v>
      </c>
      <c r="N340" t="s">
        <v>78</v>
      </c>
      <c r="O340" t="s">
        <v>74</v>
      </c>
      <c r="P340" t="s">
        <v>74</v>
      </c>
      <c r="Q340" t="s">
        <v>74</v>
      </c>
      <c r="R340" t="s">
        <v>74</v>
      </c>
      <c r="S340" t="s">
        <v>74</v>
      </c>
      <c r="T340" t="s">
        <v>74</v>
      </c>
      <c r="U340" t="s">
        <v>5242</v>
      </c>
      <c r="V340" t="s">
        <v>5243</v>
      </c>
      <c r="W340" t="s">
        <v>5244</v>
      </c>
      <c r="X340" t="s">
        <v>5245</v>
      </c>
      <c r="Y340" t="s">
        <v>5246</v>
      </c>
      <c r="Z340" t="s">
        <v>74</v>
      </c>
      <c r="AA340" t="s">
        <v>74</v>
      </c>
      <c r="AB340" t="s">
        <v>5247</v>
      </c>
      <c r="AC340" t="s">
        <v>74</v>
      </c>
      <c r="AD340" t="s">
        <v>74</v>
      </c>
      <c r="AE340" t="s">
        <v>74</v>
      </c>
      <c r="AF340" t="s">
        <v>74</v>
      </c>
      <c r="AG340">
        <v>36</v>
      </c>
      <c r="AH340">
        <v>5</v>
      </c>
      <c r="AI340">
        <v>6</v>
      </c>
      <c r="AJ340">
        <v>0</v>
      </c>
      <c r="AK340">
        <v>5</v>
      </c>
      <c r="AL340" t="s">
        <v>85</v>
      </c>
      <c r="AM340" t="s">
        <v>86</v>
      </c>
      <c r="AN340" t="s">
        <v>87</v>
      </c>
      <c r="AO340" t="s">
        <v>3878</v>
      </c>
      <c r="AP340" t="s">
        <v>74</v>
      </c>
      <c r="AQ340" t="s">
        <v>74</v>
      </c>
      <c r="AR340" t="s">
        <v>3879</v>
      </c>
      <c r="AS340" t="s">
        <v>3880</v>
      </c>
      <c r="AT340" t="s">
        <v>4604</v>
      </c>
      <c r="AU340">
        <v>2003</v>
      </c>
      <c r="AV340">
        <v>33</v>
      </c>
      <c r="AW340">
        <v>7</v>
      </c>
      <c r="AX340" t="s">
        <v>74</v>
      </c>
      <c r="AY340" t="s">
        <v>74</v>
      </c>
      <c r="AZ340" t="s">
        <v>74</v>
      </c>
      <c r="BA340" t="s">
        <v>74</v>
      </c>
      <c r="BB340">
        <v>1401</v>
      </c>
      <c r="BC340">
        <v>1415</v>
      </c>
      <c r="BD340" t="s">
        <v>74</v>
      </c>
      <c r="BE340" t="s">
        <v>5248</v>
      </c>
      <c r="BF340" t="str">
        <f>HYPERLINK("http://dx.doi.org/10.1175/1520-0485(2003)033&lt;1401:TMOAEF&gt;2.0.CO;2","http://dx.doi.org/10.1175/1520-0485(2003)033&lt;1401:TMOAEF&gt;2.0.CO;2")</f>
        <v>http://dx.doi.org/10.1175/1520-0485(2003)033&lt;1401:TMOAEF&gt;2.0.CO;2</v>
      </c>
      <c r="BG340" t="s">
        <v>74</v>
      </c>
      <c r="BH340" t="s">
        <v>74</v>
      </c>
      <c r="BI340">
        <v>15</v>
      </c>
      <c r="BJ340" t="s">
        <v>678</v>
      </c>
      <c r="BK340" t="s">
        <v>94</v>
      </c>
      <c r="BL340" t="s">
        <v>678</v>
      </c>
      <c r="BM340" t="s">
        <v>5249</v>
      </c>
      <c r="BN340" t="s">
        <v>74</v>
      </c>
      <c r="BO340" t="s">
        <v>96</v>
      </c>
      <c r="BP340" t="s">
        <v>74</v>
      </c>
      <c r="BQ340" t="s">
        <v>74</v>
      </c>
      <c r="BR340" t="s">
        <v>97</v>
      </c>
      <c r="BS340" t="s">
        <v>5250</v>
      </c>
      <c r="BT340" t="str">
        <f>HYPERLINK("https%3A%2F%2Fwww.webofscience.com%2Fwos%2Fwoscc%2Ffull-record%2FWOS:000184100400007","View Full Record in Web of Science")</f>
        <v>View Full Record in Web of Science</v>
      </c>
    </row>
    <row r="341" spans="1:72" x14ac:dyDescent="0.15">
      <c r="A341" t="s">
        <v>72</v>
      </c>
      <c r="B341" t="s">
        <v>5251</v>
      </c>
      <c r="C341" t="s">
        <v>74</v>
      </c>
      <c r="D341" t="s">
        <v>74</v>
      </c>
      <c r="E341" t="s">
        <v>74</v>
      </c>
      <c r="F341" t="s">
        <v>5251</v>
      </c>
      <c r="G341" t="s">
        <v>74</v>
      </c>
      <c r="H341" t="s">
        <v>74</v>
      </c>
      <c r="I341" t="s">
        <v>5252</v>
      </c>
      <c r="J341" t="s">
        <v>3874</v>
      </c>
      <c r="K341" t="s">
        <v>74</v>
      </c>
      <c r="L341" t="s">
        <v>74</v>
      </c>
      <c r="M341" t="s">
        <v>77</v>
      </c>
      <c r="N341" t="s">
        <v>78</v>
      </c>
      <c r="O341" t="s">
        <v>74</v>
      </c>
      <c r="P341" t="s">
        <v>74</v>
      </c>
      <c r="Q341" t="s">
        <v>74</v>
      </c>
      <c r="R341" t="s">
        <v>74</v>
      </c>
      <c r="S341" t="s">
        <v>74</v>
      </c>
      <c r="T341" t="s">
        <v>74</v>
      </c>
      <c r="U341" t="s">
        <v>5253</v>
      </c>
      <c r="V341" t="s">
        <v>5254</v>
      </c>
      <c r="W341" t="s">
        <v>5255</v>
      </c>
      <c r="X341" t="s">
        <v>5256</v>
      </c>
      <c r="Y341" t="s">
        <v>750</v>
      </c>
      <c r="Z341" t="s">
        <v>751</v>
      </c>
      <c r="AA341" t="s">
        <v>5257</v>
      </c>
      <c r="AB341" t="s">
        <v>5258</v>
      </c>
      <c r="AC341" t="s">
        <v>74</v>
      </c>
      <c r="AD341" t="s">
        <v>74</v>
      </c>
      <c r="AE341" t="s">
        <v>74</v>
      </c>
      <c r="AF341" t="s">
        <v>74</v>
      </c>
      <c r="AG341">
        <v>20</v>
      </c>
      <c r="AH341">
        <v>16</v>
      </c>
      <c r="AI341">
        <v>16</v>
      </c>
      <c r="AJ341">
        <v>1</v>
      </c>
      <c r="AK341">
        <v>10</v>
      </c>
      <c r="AL341" t="s">
        <v>85</v>
      </c>
      <c r="AM341" t="s">
        <v>86</v>
      </c>
      <c r="AN341" t="s">
        <v>754</v>
      </c>
      <c r="AO341" t="s">
        <v>3878</v>
      </c>
      <c r="AP341" t="s">
        <v>5259</v>
      </c>
      <c r="AQ341" t="s">
        <v>74</v>
      </c>
      <c r="AR341" t="s">
        <v>3879</v>
      </c>
      <c r="AS341" t="s">
        <v>3880</v>
      </c>
      <c r="AT341" t="s">
        <v>4604</v>
      </c>
      <c r="AU341">
        <v>2003</v>
      </c>
      <c r="AV341">
        <v>33</v>
      </c>
      <c r="AW341">
        <v>7</v>
      </c>
      <c r="AX341" t="s">
        <v>74</v>
      </c>
      <c r="AY341" t="s">
        <v>74</v>
      </c>
      <c r="AZ341" t="s">
        <v>74</v>
      </c>
      <c r="BA341" t="s">
        <v>74</v>
      </c>
      <c r="BB341">
        <v>1528</v>
      </c>
      <c r="BC341">
        <v>1535</v>
      </c>
      <c r="BD341" t="s">
        <v>74</v>
      </c>
      <c r="BE341" t="s">
        <v>5260</v>
      </c>
      <c r="BF341" t="str">
        <f>HYPERLINK("http://dx.doi.org/10.1175/1520-0485(2003)033&lt;1528:AROENA&gt;2.0.CO;2","http://dx.doi.org/10.1175/1520-0485(2003)033&lt;1528:AROENA&gt;2.0.CO;2")</f>
        <v>http://dx.doi.org/10.1175/1520-0485(2003)033&lt;1528:AROENA&gt;2.0.CO;2</v>
      </c>
      <c r="BG341" t="s">
        <v>74</v>
      </c>
      <c r="BH341" t="s">
        <v>74</v>
      </c>
      <c r="BI341">
        <v>8</v>
      </c>
      <c r="BJ341" t="s">
        <v>678</v>
      </c>
      <c r="BK341" t="s">
        <v>94</v>
      </c>
      <c r="BL341" t="s">
        <v>678</v>
      </c>
      <c r="BM341" t="s">
        <v>5249</v>
      </c>
      <c r="BN341" t="s">
        <v>74</v>
      </c>
      <c r="BO341" t="s">
        <v>759</v>
      </c>
      <c r="BP341" t="s">
        <v>74</v>
      </c>
      <c r="BQ341" t="s">
        <v>74</v>
      </c>
      <c r="BR341" t="s">
        <v>97</v>
      </c>
      <c r="BS341" t="s">
        <v>5261</v>
      </c>
      <c r="BT341" t="str">
        <f>HYPERLINK("https%3A%2F%2Fwww.webofscience.com%2Fwos%2Fwoscc%2Ffull-record%2FWOS:000184100400014","View Full Record in Web of Science")</f>
        <v>View Full Record in Web of Science</v>
      </c>
    </row>
    <row r="342" spans="1:72" x14ac:dyDescent="0.15">
      <c r="A342" t="s">
        <v>72</v>
      </c>
      <c r="B342" t="s">
        <v>5262</v>
      </c>
      <c r="C342" t="s">
        <v>74</v>
      </c>
      <c r="D342" t="s">
        <v>74</v>
      </c>
      <c r="E342" t="s">
        <v>74</v>
      </c>
      <c r="F342" t="s">
        <v>5262</v>
      </c>
      <c r="G342" t="s">
        <v>74</v>
      </c>
      <c r="H342" t="s">
        <v>74</v>
      </c>
      <c r="I342" t="s">
        <v>5263</v>
      </c>
      <c r="J342" t="s">
        <v>5264</v>
      </c>
      <c r="K342" t="s">
        <v>74</v>
      </c>
      <c r="L342" t="s">
        <v>74</v>
      </c>
      <c r="M342" t="s">
        <v>77</v>
      </c>
      <c r="N342" t="s">
        <v>78</v>
      </c>
      <c r="O342" t="s">
        <v>74</v>
      </c>
      <c r="P342" t="s">
        <v>74</v>
      </c>
      <c r="Q342" t="s">
        <v>74</v>
      </c>
      <c r="R342" t="s">
        <v>74</v>
      </c>
      <c r="S342" t="s">
        <v>74</v>
      </c>
      <c r="T342" t="s">
        <v>5265</v>
      </c>
      <c r="U342" t="s">
        <v>5266</v>
      </c>
      <c r="V342" t="s">
        <v>5267</v>
      </c>
      <c r="W342" t="s">
        <v>5268</v>
      </c>
      <c r="X342" t="s">
        <v>5269</v>
      </c>
      <c r="Y342" t="s">
        <v>5270</v>
      </c>
      <c r="Z342" t="s">
        <v>5271</v>
      </c>
      <c r="AA342" t="s">
        <v>5272</v>
      </c>
      <c r="AB342" t="s">
        <v>5273</v>
      </c>
      <c r="AC342" t="s">
        <v>74</v>
      </c>
      <c r="AD342" t="s">
        <v>74</v>
      </c>
      <c r="AE342" t="s">
        <v>74</v>
      </c>
      <c r="AF342" t="s">
        <v>74</v>
      </c>
      <c r="AG342">
        <v>94</v>
      </c>
      <c r="AH342">
        <v>87</v>
      </c>
      <c r="AI342">
        <v>93</v>
      </c>
      <c r="AJ342">
        <v>0</v>
      </c>
      <c r="AK342">
        <v>3</v>
      </c>
      <c r="AL342" t="s">
        <v>5274</v>
      </c>
      <c r="AM342" t="s">
        <v>5275</v>
      </c>
      <c r="AN342" t="s">
        <v>5276</v>
      </c>
      <c r="AO342" t="s">
        <v>5277</v>
      </c>
      <c r="AP342" t="s">
        <v>5278</v>
      </c>
      <c r="AQ342" t="s">
        <v>74</v>
      </c>
      <c r="AR342" t="s">
        <v>5279</v>
      </c>
      <c r="AS342" t="s">
        <v>5280</v>
      </c>
      <c r="AT342" t="s">
        <v>4604</v>
      </c>
      <c r="AU342">
        <v>2003</v>
      </c>
      <c r="AV342">
        <v>160</v>
      </c>
      <c r="AW342" t="s">
        <v>74</v>
      </c>
      <c r="AX342">
        <v>4</v>
      </c>
      <c r="AY342" t="s">
        <v>74</v>
      </c>
      <c r="AZ342" t="s">
        <v>74</v>
      </c>
      <c r="BA342" t="s">
        <v>74</v>
      </c>
      <c r="BB342">
        <v>613</v>
      </c>
      <c r="BC342">
        <v>628</v>
      </c>
      <c r="BD342" t="s">
        <v>74</v>
      </c>
      <c r="BE342" t="s">
        <v>5281</v>
      </c>
      <c r="BF342" t="str">
        <f>HYPERLINK("http://dx.doi.org/10.1144/0016-764902-112","http://dx.doi.org/10.1144/0016-764902-112")</f>
        <v>http://dx.doi.org/10.1144/0016-764902-112</v>
      </c>
      <c r="BG342" t="s">
        <v>74</v>
      </c>
      <c r="BH342" t="s">
        <v>74</v>
      </c>
      <c r="BI342">
        <v>16</v>
      </c>
      <c r="BJ342" t="s">
        <v>548</v>
      </c>
      <c r="BK342" t="s">
        <v>94</v>
      </c>
      <c r="BL342" t="s">
        <v>549</v>
      </c>
      <c r="BM342" t="s">
        <v>5282</v>
      </c>
      <c r="BN342" t="s">
        <v>74</v>
      </c>
      <c r="BO342" t="s">
        <v>154</v>
      </c>
      <c r="BP342" t="s">
        <v>74</v>
      </c>
      <c r="BQ342" t="s">
        <v>74</v>
      </c>
      <c r="BR342" t="s">
        <v>97</v>
      </c>
      <c r="BS342" t="s">
        <v>5283</v>
      </c>
      <c r="BT342" t="str">
        <f>HYPERLINK("https%3A%2F%2Fwww.webofscience.com%2Fwos%2Fwoscc%2Ffull-record%2FWOS:000184098700012","View Full Record in Web of Science")</f>
        <v>View Full Record in Web of Science</v>
      </c>
    </row>
    <row r="343" spans="1:72" x14ac:dyDescent="0.15">
      <c r="A343" t="s">
        <v>72</v>
      </c>
      <c r="B343" t="s">
        <v>5284</v>
      </c>
      <c r="C343" t="s">
        <v>74</v>
      </c>
      <c r="D343" t="s">
        <v>74</v>
      </c>
      <c r="E343" t="s">
        <v>74</v>
      </c>
      <c r="F343" t="s">
        <v>5284</v>
      </c>
      <c r="G343" t="s">
        <v>74</v>
      </c>
      <c r="H343" t="s">
        <v>74</v>
      </c>
      <c r="I343" t="s">
        <v>5285</v>
      </c>
      <c r="J343" t="s">
        <v>5264</v>
      </c>
      <c r="K343" t="s">
        <v>74</v>
      </c>
      <c r="L343" t="s">
        <v>74</v>
      </c>
      <c r="M343" t="s">
        <v>77</v>
      </c>
      <c r="N343" t="s">
        <v>78</v>
      </c>
      <c r="O343" t="s">
        <v>74</v>
      </c>
      <c r="P343" t="s">
        <v>74</v>
      </c>
      <c r="Q343" t="s">
        <v>74</v>
      </c>
      <c r="R343" t="s">
        <v>74</v>
      </c>
      <c r="S343" t="s">
        <v>74</v>
      </c>
      <c r="T343" t="s">
        <v>5286</v>
      </c>
      <c r="U343" t="s">
        <v>5287</v>
      </c>
      <c r="V343" t="s">
        <v>5288</v>
      </c>
      <c r="W343" t="s">
        <v>5289</v>
      </c>
      <c r="X343" t="s">
        <v>706</v>
      </c>
      <c r="Y343" t="s">
        <v>5290</v>
      </c>
      <c r="Z343" t="s">
        <v>74</v>
      </c>
      <c r="AA343" t="s">
        <v>1224</v>
      </c>
      <c r="AB343" t="s">
        <v>74</v>
      </c>
      <c r="AC343" t="s">
        <v>74</v>
      </c>
      <c r="AD343" t="s">
        <v>74</v>
      </c>
      <c r="AE343" t="s">
        <v>74</v>
      </c>
      <c r="AF343" t="s">
        <v>74</v>
      </c>
      <c r="AG343">
        <v>44</v>
      </c>
      <c r="AH343">
        <v>13</v>
      </c>
      <c r="AI343">
        <v>13</v>
      </c>
      <c r="AJ343">
        <v>0</v>
      </c>
      <c r="AK343">
        <v>5</v>
      </c>
      <c r="AL343" t="s">
        <v>5274</v>
      </c>
      <c r="AM343" t="s">
        <v>5275</v>
      </c>
      <c r="AN343" t="s">
        <v>5276</v>
      </c>
      <c r="AO343" t="s">
        <v>5277</v>
      </c>
      <c r="AP343" t="s">
        <v>5278</v>
      </c>
      <c r="AQ343" t="s">
        <v>74</v>
      </c>
      <c r="AR343" t="s">
        <v>5279</v>
      </c>
      <c r="AS343" t="s">
        <v>5280</v>
      </c>
      <c r="AT343" t="s">
        <v>4604</v>
      </c>
      <c r="AU343">
        <v>2003</v>
      </c>
      <c r="AV343">
        <v>160</v>
      </c>
      <c r="AW343" t="s">
        <v>74</v>
      </c>
      <c r="AX343">
        <v>4</v>
      </c>
      <c r="AY343" t="s">
        <v>74</v>
      </c>
      <c r="AZ343" t="s">
        <v>74</v>
      </c>
      <c r="BA343" t="s">
        <v>74</v>
      </c>
      <c r="BB343">
        <v>629</v>
      </c>
      <c r="BC343">
        <v>642</v>
      </c>
      <c r="BD343" t="s">
        <v>74</v>
      </c>
      <c r="BE343" t="s">
        <v>5291</v>
      </c>
      <c r="BF343" t="str">
        <f>HYPERLINK("http://dx.doi.org/10.1144/0016-764902-102","http://dx.doi.org/10.1144/0016-764902-102")</f>
        <v>http://dx.doi.org/10.1144/0016-764902-102</v>
      </c>
      <c r="BG343" t="s">
        <v>74</v>
      </c>
      <c r="BH343" t="s">
        <v>74</v>
      </c>
      <c r="BI343">
        <v>14</v>
      </c>
      <c r="BJ343" t="s">
        <v>548</v>
      </c>
      <c r="BK343" t="s">
        <v>94</v>
      </c>
      <c r="BL343" t="s">
        <v>549</v>
      </c>
      <c r="BM343" t="s">
        <v>5282</v>
      </c>
      <c r="BN343" t="s">
        <v>74</v>
      </c>
      <c r="BO343" t="s">
        <v>74</v>
      </c>
      <c r="BP343" t="s">
        <v>74</v>
      </c>
      <c r="BQ343" t="s">
        <v>74</v>
      </c>
      <c r="BR343" t="s">
        <v>97</v>
      </c>
      <c r="BS343" t="s">
        <v>5292</v>
      </c>
      <c r="BT343" t="str">
        <f>HYPERLINK("https%3A%2F%2Fwww.webofscience.com%2Fwos%2Fwoscc%2Ffull-record%2FWOS:000184098700013","View Full Record in Web of Science")</f>
        <v>View Full Record in Web of Science</v>
      </c>
    </row>
    <row r="344" spans="1:72" x14ac:dyDescent="0.15">
      <c r="A344" t="s">
        <v>72</v>
      </c>
      <c r="B344" t="s">
        <v>5293</v>
      </c>
      <c r="C344" t="s">
        <v>74</v>
      </c>
      <c r="D344" t="s">
        <v>74</v>
      </c>
      <c r="E344" t="s">
        <v>74</v>
      </c>
      <c r="F344" t="s">
        <v>5293</v>
      </c>
      <c r="G344" t="s">
        <v>74</v>
      </c>
      <c r="H344" t="s">
        <v>74</v>
      </c>
      <c r="I344" t="s">
        <v>5294</v>
      </c>
      <c r="J344" t="s">
        <v>5295</v>
      </c>
      <c r="K344" t="s">
        <v>74</v>
      </c>
      <c r="L344" t="s">
        <v>74</v>
      </c>
      <c r="M344" t="s">
        <v>77</v>
      </c>
      <c r="N344" t="s">
        <v>78</v>
      </c>
      <c r="O344" t="s">
        <v>74</v>
      </c>
      <c r="P344" t="s">
        <v>74</v>
      </c>
      <c r="Q344" t="s">
        <v>74</v>
      </c>
      <c r="R344" t="s">
        <v>74</v>
      </c>
      <c r="S344" t="s">
        <v>74</v>
      </c>
      <c r="T344" t="s">
        <v>5296</v>
      </c>
      <c r="U344" t="s">
        <v>5297</v>
      </c>
      <c r="V344" t="s">
        <v>5298</v>
      </c>
      <c r="W344" t="s">
        <v>5299</v>
      </c>
      <c r="X344" t="s">
        <v>371</v>
      </c>
      <c r="Y344" t="s">
        <v>5300</v>
      </c>
      <c r="Z344" t="s">
        <v>74</v>
      </c>
      <c r="AA344" t="s">
        <v>5301</v>
      </c>
      <c r="AB344" t="s">
        <v>5302</v>
      </c>
      <c r="AC344" t="s">
        <v>74</v>
      </c>
      <c r="AD344" t="s">
        <v>74</v>
      </c>
      <c r="AE344" t="s">
        <v>74</v>
      </c>
      <c r="AF344" t="s">
        <v>74</v>
      </c>
      <c r="AG344">
        <v>29</v>
      </c>
      <c r="AH344">
        <v>19</v>
      </c>
      <c r="AI344">
        <v>19</v>
      </c>
      <c r="AJ344">
        <v>0</v>
      </c>
      <c r="AK344">
        <v>10</v>
      </c>
      <c r="AL344" t="s">
        <v>169</v>
      </c>
      <c r="AM344" t="s">
        <v>170</v>
      </c>
      <c r="AN344" t="s">
        <v>171</v>
      </c>
      <c r="AO344" t="s">
        <v>5303</v>
      </c>
      <c r="AP344" t="s">
        <v>74</v>
      </c>
      <c r="AQ344" t="s">
        <v>74</v>
      </c>
      <c r="AR344" t="s">
        <v>5304</v>
      </c>
      <c r="AS344" t="s">
        <v>5305</v>
      </c>
      <c r="AT344" t="s">
        <v>4604</v>
      </c>
      <c r="AU344">
        <v>2003</v>
      </c>
      <c r="AV344">
        <v>28</v>
      </c>
      <c r="AW344">
        <v>5</v>
      </c>
      <c r="AX344" t="s">
        <v>74</v>
      </c>
      <c r="AY344" t="s">
        <v>74</v>
      </c>
      <c r="AZ344" t="s">
        <v>74</v>
      </c>
      <c r="BA344" t="s">
        <v>74</v>
      </c>
      <c r="BB344">
        <v>363</v>
      </c>
      <c r="BC344">
        <v>371</v>
      </c>
      <c r="BD344" t="s">
        <v>74</v>
      </c>
      <c r="BE344" t="s">
        <v>5306</v>
      </c>
      <c r="BF344" t="str">
        <f>HYPERLINK("http://dx.doi.org/10.1016/S0306-4565(03)00012-3","http://dx.doi.org/10.1016/S0306-4565(03)00012-3")</f>
        <v>http://dx.doi.org/10.1016/S0306-4565(03)00012-3</v>
      </c>
      <c r="BG344" t="s">
        <v>74</v>
      </c>
      <c r="BH344" t="s">
        <v>74</v>
      </c>
      <c r="BI344">
        <v>9</v>
      </c>
      <c r="BJ344" t="s">
        <v>5307</v>
      </c>
      <c r="BK344" t="s">
        <v>94</v>
      </c>
      <c r="BL344" t="s">
        <v>5308</v>
      </c>
      <c r="BM344" t="s">
        <v>5309</v>
      </c>
      <c r="BN344" t="s">
        <v>74</v>
      </c>
      <c r="BO344" t="s">
        <v>154</v>
      </c>
      <c r="BP344" t="s">
        <v>74</v>
      </c>
      <c r="BQ344" t="s">
        <v>74</v>
      </c>
      <c r="BR344" t="s">
        <v>97</v>
      </c>
      <c r="BS344" t="s">
        <v>5310</v>
      </c>
      <c r="BT344" t="str">
        <f>HYPERLINK("https%3A%2F%2Fwww.webofscience.com%2Fwos%2Fwoscc%2Ffull-record%2FWOS:000183794100002","View Full Record in Web of Science")</f>
        <v>View Full Record in Web of Science</v>
      </c>
    </row>
    <row r="345" spans="1:72" x14ac:dyDescent="0.15">
      <c r="A345" t="s">
        <v>72</v>
      </c>
      <c r="B345" t="s">
        <v>5311</v>
      </c>
      <c r="C345" t="s">
        <v>74</v>
      </c>
      <c r="D345" t="s">
        <v>74</v>
      </c>
      <c r="E345" t="s">
        <v>74</v>
      </c>
      <c r="F345" t="s">
        <v>5311</v>
      </c>
      <c r="G345" t="s">
        <v>74</v>
      </c>
      <c r="H345" t="s">
        <v>74</v>
      </c>
      <c r="I345" t="s">
        <v>5312</v>
      </c>
      <c r="J345" t="s">
        <v>5313</v>
      </c>
      <c r="K345" t="s">
        <v>74</v>
      </c>
      <c r="L345" t="s">
        <v>74</v>
      </c>
      <c r="M345" t="s">
        <v>77</v>
      </c>
      <c r="N345" t="s">
        <v>78</v>
      </c>
      <c r="O345" t="s">
        <v>74</v>
      </c>
      <c r="P345" t="s">
        <v>74</v>
      </c>
      <c r="Q345" t="s">
        <v>74</v>
      </c>
      <c r="R345" t="s">
        <v>74</v>
      </c>
      <c r="S345" t="s">
        <v>74</v>
      </c>
      <c r="T345" t="s">
        <v>5314</v>
      </c>
      <c r="U345" t="s">
        <v>5315</v>
      </c>
      <c r="V345" t="s">
        <v>5316</v>
      </c>
      <c r="W345" t="s">
        <v>5317</v>
      </c>
      <c r="X345" t="s">
        <v>5318</v>
      </c>
      <c r="Y345" t="s">
        <v>5319</v>
      </c>
      <c r="Z345" t="s">
        <v>74</v>
      </c>
      <c r="AA345" t="s">
        <v>5320</v>
      </c>
      <c r="AB345" t="s">
        <v>5321</v>
      </c>
      <c r="AC345" t="s">
        <v>74</v>
      </c>
      <c r="AD345" t="s">
        <v>74</v>
      </c>
      <c r="AE345" t="s">
        <v>74</v>
      </c>
      <c r="AF345" t="s">
        <v>74</v>
      </c>
      <c r="AG345">
        <v>43</v>
      </c>
      <c r="AH345">
        <v>43</v>
      </c>
      <c r="AI345">
        <v>55</v>
      </c>
      <c r="AJ345">
        <v>0</v>
      </c>
      <c r="AK345">
        <v>7</v>
      </c>
      <c r="AL345" t="s">
        <v>228</v>
      </c>
      <c r="AM345" t="s">
        <v>132</v>
      </c>
      <c r="AN345" t="s">
        <v>5322</v>
      </c>
      <c r="AO345" t="s">
        <v>5323</v>
      </c>
      <c r="AP345" t="s">
        <v>74</v>
      </c>
      <c r="AQ345" t="s">
        <v>74</v>
      </c>
      <c r="AR345" t="s">
        <v>5313</v>
      </c>
      <c r="AS345" t="s">
        <v>5324</v>
      </c>
      <c r="AT345" t="s">
        <v>4604</v>
      </c>
      <c r="AU345">
        <v>2003</v>
      </c>
      <c r="AV345">
        <v>35</v>
      </c>
      <c r="AW345" t="s">
        <v>74</v>
      </c>
      <c r="AX345">
        <v>4</v>
      </c>
      <c r="AY345" t="s">
        <v>74</v>
      </c>
      <c r="AZ345" t="s">
        <v>74</v>
      </c>
      <c r="BA345" t="s">
        <v>74</v>
      </c>
      <c r="BB345">
        <v>301</v>
      </c>
      <c r="BC345">
        <v>323</v>
      </c>
      <c r="BD345" t="s">
        <v>74</v>
      </c>
      <c r="BE345" t="s">
        <v>5325</v>
      </c>
      <c r="BF345" t="str">
        <f>HYPERLINK("http://dx.doi.org/10.1016/S0024-2829(03)00041-0","http://dx.doi.org/10.1016/S0024-2829(03)00041-0")</f>
        <v>http://dx.doi.org/10.1016/S0024-2829(03)00041-0</v>
      </c>
      <c r="BG345" t="s">
        <v>74</v>
      </c>
      <c r="BH345" t="s">
        <v>74</v>
      </c>
      <c r="BI345">
        <v>23</v>
      </c>
      <c r="BJ345" t="s">
        <v>5326</v>
      </c>
      <c r="BK345" t="s">
        <v>94</v>
      </c>
      <c r="BL345" t="s">
        <v>5326</v>
      </c>
      <c r="BM345" t="s">
        <v>5327</v>
      </c>
      <c r="BN345" t="s">
        <v>74</v>
      </c>
      <c r="BO345" t="s">
        <v>74</v>
      </c>
      <c r="BP345" t="s">
        <v>74</v>
      </c>
      <c r="BQ345" t="s">
        <v>74</v>
      </c>
      <c r="BR345" t="s">
        <v>97</v>
      </c>
      <c r="BS345" t="s">
        <v>5328</v>
      </c>
      <c r="BT345" t="str">
        <f>HYPERLINK("https%3A%2F%2Fwww.webofscience.com%2Fwos%2Fwoscc%2Ffull-record%2FWOS:000186014300005","View Full Record in Web of Science")</f>
        <v>View Full Record in Web of Science</v>
      </c>
    </row>
    <row r="346" spans="1:72" x14ac:dyDescent="0.15">
      <c r="A346" t="s">
        <v>72</v>
      </c>
      <c r="B346" t="s">
        <v>5329</v>
      </c>
      <c r="C346" t="s">
        <v>74</v>
      </c>
      <c r="D346" t="s">
        <v>74</v>
      </c>
      <c r="E346" t="s">
        <v>74</v>
      </c>
      <c r="F346" t="s">
        <v>5329</v>
      </c>
      <c r="G346" t="s">
        <v>74</v>
      </c>
      <c r="H346" t="s">
        <v>74</v>
      </c>
      <c r="I346" t="s">
        <v>5330</v>
      </c>
      <c r="J346" t="s">
        <v>2123</v>
      </c>
      <c r="K346" t="s">
        <v>74</v>
      </c>
      <c r="L346" t="s">
        <v>74</v>
      </c>
      <c r="M346" t="s">
        <v>77</v>
      </c>
      <c r="N346" t="s">
        <v>78</v>
      </c>
      <c r="O346" t="s">
        <v>74</v>
      </c>
      <c r="P346" t="s">
        <v>74</v>
      </c>
      <c r="Q346" t="s">
        <v>74</v>
      </c>
      <c r="R346" t="s">
        <v>74</v>
      </c>
      <c r="S346" t="s">
        <v>74</v>
      </c>
      <c r="T346" t="s">
        <v>74</v>
      </c>
      <c r="U346" t="s">
        <v>5331</v>
      </c>
      <c r="V346" t="s">
        <v>5332</v>
      </c>
      <c r="W346" t="s">
        <v>5333</v>
      </c>
      <c r="X346" t="s">
        <v>5334</v>
      </c>
      <c r="Y346" t="s">
        <v>74</v>
      </c>
      <c r="Z346" t="s">
        <v>5335</v>
      </c>
      <c r="AA346" t="s">
        <v>74</v>
      </c>
      <c r="AB346" t="s">
        <v>5336</v>
      </c>
      <c r="AC346" t="s">
        <v>74</v>
      </c>
      <c r="AD346" t="s">
        <v>74</v>
      </c>
      <c r="AE346" t="s">
        <v>74</v>
      </c>
      <c r="AF346" t="s">
        <v>74</v>
      </c>
      <c r="AG346">
        <v>53</v>
      </c>
      <c r="AH346">
        <v>64</v>
      </c>
      <c r="AI346">
        <v>72</v>
      </c>
      <c r="AJ346">
        <v>0</v>
      </c>
      <c r="AK346">
        <v>34</v>
      </c>
      <c r="AL346" t="s">
        <v>250</v>
      </c>
      <c r="AM346" t="s">
        <v>251</v>
      </c>
      <c r="AN346" t="s">
        <v>252</v>
      </c>
      <c r="AO346" t="s">
        <v>2132</v>
      </c>
      <c r="AP346" t="s">
        <v>2133</v>
      </c>
      <c r="AQ346" t="s">
        <v>74</v>
      </c>
      <c r="AR346" t="s">
        <v>2134</v>
      </c>
      <c r="AS346" t="s">
        <v>2135</v>
      </c>
      <c r="AT346" t="s">
        <v>4604</v>
      </c>
      <c r="AU346">
        <v>2003</v>
      </c>
      <c r="AV346">
        <v>48</v>
      </c>
      <c r="AW346">
        <v>4</v>
      </c>
      <c r="AX346" t="s">
        <v>74</v>
      </c>
      <c r="AY346" t="s">
        <v>74</v>
      </c>
      <c r="AZ346" t="s">
        <v>74</v>
      </c>
      <c r="BA346" t="s">
        <v>74</v>
      </c>
      <c r="BB346">
        <v>1685</v>
      </c>
      <c r="BC346">
        <v>1700</v>
      </c>
      <c r="BD346" t="s">
        <v>74</v>
      </c>
      <c r="BE346" t="s">
        <v>74</v>
      </c>
      <c r="BF346" t="s">
        <v>74</v>
      </c>
      <c r="BG346" t="s">
        <v>74</v>
      </c>
      <c r="BH346" t="s">
        <v>74</v>
      </c>
      <c r="BI346">
        <v>16</v>
      </c>
      <c r="BJ346" t="s">
        <v>2137</v>
      </c>
      <c r="BK346" t="s">
        <v>94</v>
      </c>
      <c r="BL346" t="s">
        <v>194</v>
      </c>
      <c r="BM346" t="s">
        <v>5337</v>
      </c>
      <c r="BN346" t="s">
        <v>74</v>
      </c>
      <c r="BO346" t="s">
        <v>74</v>
      </c>
      <c r="BP346" t="s">
        <v>74</v>
      </c>
      <c r="BQ346" t="s">
        <v>74</v>
      </c>
      <c r="BR346" t="s">
        <v>97</v>
      </c>
      <c r="BS346" t="s">
        <v>5338</v>
      </c>
      <c r="BT346" t="str">
        <f>HYPERLINK("https%3A%2F%2Fwww.webofscience.com%2Fwos%2Fwoscc%2Ffull-record%2FWOS:000184247900031","View Full Record in Web of Science")</f>
        <v>View Full Record in Web of Science</v>
      </c>
    </row>
    <row r="347" spans="1:72" x14ac:dyDescent="0.15">
      <c r="A347" t="s">
        <v>72</v>
      </c>
      <c r="B347" t="s">
        <v>5339</v>
      </c>
      <c r="C347" t="s">
        <v>74</v>
      </c>
      <c r="D347" t="s">
        <v>74</v>
      </c>
      <c r="E347" t="s">
        <v>74</v>
      </c>
      <c r="F347" t="s">
        <v>5339</v>
      </c>
      <c r="G347" t="s">
        <v>74</v>
      </c>
      <c r="H347" t="s">
        <v>74</v>
      </c>
      <c r="I347" t="s">
        <v>5340</v>
      </c>
      <c r="J347" t="s">
        <v>2177</v>
      </c>
      <c r="K347" t="s">
        <v>74</v>
      </c>
      <c r="L347" t="s">
        <v>74</v>
      </c>
      <c r="M347" t="s">
        <v>77</v>
      </c>
      <c r="N347" t="s">
        <v>78</v>
      </c>
      <c r="O347" t="s">
        <v>74</v>
      </c>
      <c r="P347" t="s">
        <v>74</v>
      </c>
      <c r="Q347" t="s">
        <v>74</v>
      </c>
      <c r="R347" t="s">
        <v>74</v>
      </c>
      <c r="S347" t="s">
        <v>74</v>
      </c>
      <c r="T347" t="s">
        <v>74</v>
      </c>
      <c r="U347" t="s">
        <v>5341</v>
      </c>
      <c r="V347" t="s">
        <v>5342</v>
      </c>
      <c r="W347" t="s">
        <v>5343</v>
      </c>
      <c r="X347" t="s">
        <v>5344</v>
      </c>
      <c r="Y347" t="s">
        <v>4920</v>
      </c>
      <c r="Z347" t="s">
        <v>5345</v>
      </c>
      <c r="AA347" t="s">
        <v>5346</v>
      </c>
      <c r="AB347" t="s">
        <v>5347</v>
      </c>
      <c r="AC347" t="s">
        <v>74</v>
      </c>
      <c r="AD347" t="s">
        <v>74</v>
      </c>
      <c r="AE347" t="s">
        <v>74</v>
      </c>
      <c r="AF347" t="s">
        <v>74</v>
      </c>
      <c r="AG347">
        <v>54</v>
      </c>
      <c r="AH347">
        <v>31</v>
      </c>
      <c r="AI347">
        <v>32</v>
      </c>
      <c r="AJ347">
        <v>0</v>
      </c>
      <c r="AK347">
        <v>8</v>
      </c>
      <c r="AL347" t="s">
        <v>2185</v>
      </c>
      <c r="AM347" t="s">
        <v>2186</v>
      </c>
      <c r="AN347" t="s">
        <v>2187</v>
      </c>
      <c r="AO347" t="s">
        <v>2188</v>
      </c>
      <c r="AP347" t="s">
        <v>2189</v>
      </c>
      <c r="AQ347" t="s">
        <v>74</v>
      </c>
      <c r="AR347" t="s">
        <v>2190</v>
      </c>
      <c r="AS347" t="s">
        <v>2191</v>
      </c>
      <c r="AT347" t="s">
        <v>4604</v>
      </c>
      <c r="AU347">
        <v>2003</v>
      </c>
      <c r="AV347">
        <v>143</v>
      </c>
      <c r="AW347">
        <v>1</v>
      </c>
      <c r="AX347" t="s">
        <v>74</v>
      </c>
      <c r="AY347" t="s">
        <v>74</v>
      </c>
      <c r="AZ347" t="s">
        <v>74</v>
      </c>
      <c r="BA347" t="s">
        <v>74</v>
      </c>
      <c r="BB347">
        <v>121</v>
      </c>
      <c r="BC347">
        <v>130</v>
      </c>
      <c r="BD347" t="s">
        <v>74</v>
      </c>
      <c r="BE347" t="s">
        <v>5348</v>
      </c>
      <c r="BF347" t="str">
        <f>HYPERLINK("http://dx.doi.org/10.1007/s00227-003-1019-6","http://dx.doi.org/10.1007/s00227-003-1019-6")</f>
        <v>http://dx.doi.org/10.1007/s00227-003-1019-6</v>
      </c>
      <c r="BG347" t="s">
        <v>74</v>
      </c>
      <c r="BH347" t="s">
        <v>74</v>
      </c>
      <c r="BI347">
        <v>10</v>
      </c>
      <c r="BJ347" t="s">
        <v>235</v>
      </c>
      <c r="BK347" t="s">
        <v>94</v>
      </c>
      <c r="BL347" t="s">
        <v>235</v>
      </c>
      <c r="BM347" t="s">
        <v>5349</v>
      </c>
      <c r="BN347" t="s">
        <v>74</v>
      </c>
      <c r="BO347" t="s">
        <v>74</v>
      </c>
      <c r="BP347" t="s">
        <v>74</v>
      </c>
      <c r="BQ347" t="s">
        <v>74</v>
      </c>
      <c r="BR347" t="s">
        <v>97</v>
      </c>
      <c r="BS347" t="s">
        <v>5350</v>
      </c>
      <c r="BT347" t="str">
        <f>HYPERLINK("https%3A%2F%2Fwww.webofscience.com%2Fwos%2Fwoscc%2Ffull-record%2FWOS:000184026900013","View Full Record in Web of Science")</f>
        <v>View Full Record in Web of Science</v>
      </c>
    </row>
    <row r="348" spans="1:72" x14ac:dyDescent="0.15">
      <c r="A348" t="s">
        <v>72</v>
      </c>
      <c r="B348" t="s">
        <v>5351</v>
      </c>
      <c r="C348" t="s">
        <v>74</v>
      </c>
      <c r="D348" t="s">
        <v>74</v>
      </c>
      <c r="E348" t="s">
        <v>74</v>
      </c>
      <c r="F348" t="s">
        <v>5351</v>
      </c>
      <c r="G348" t="s">
        <v>74</v>
      </c>
      <c r="H348" t="s">
        <v>74</v>
      </c>
      <c r="I348" t="s">
        <v>5352</v>
      </c>
      <c r="J348" t="s">
        <v>5353</v>
      </c>
      <c r="K348" t="s">
        <v>74</v>
      </c>
      <c r="L348" t="s">
        <v>74</v>
      </c>
      <c r="M348" t="s">
        <v>77</v>
      </c>
      <c r="N348" t="s">
        <v>78</v>
      </c>
      <c r="O348" t="s">
        <v>74</v>
      </c>
      <c r="P348" t="s">
        <v>74</v>
      </c>
      <c r="Q348" t="s">
        <v>74</v>
      </c>
      <c r="R348" t="s">
        <v>74</v>
      </c>
      <c r="S348" t="s">
        <v>74</v>
      </c>
      <c r="T348" t="s">
        <v>5354</v>
      </c>
      <c r="U348" t="s">
        <v>5355</v>
      </c>
      <c r="V348" t="s">
        <v>5356</v>
      </c>
      <c r="W348" t="s">
        <v>5357</v>
      </c>
      <c r="X348" t="s">
        <v>351</v>
      </c>
      <c r="Y348" t="s">
        <v>5358</v>
      </c>
      <c r="Z348" t="s">
        <v>74</v>
      </c>
      <c r="AA348" t="s">
        <v>5359</v>
      </c>
      <c r="AB348" t="s">
        <v>5360</v>
      </c>
      <c r="AC348" t="s">
        <v>74</v>
      </c>
      <c r="AD348" t="s">
        <v>74</v>
      </c>
      <c r="AE348" t="s">
        <v>74</v>
      </c>
      <c r="AF348" t="s">
        <v>74</v>
      </c>
      <c r="AG348">
        <v>25</v>
      </c>
      <c r="AH348">
        <v>15</v>
      </c>
      <c r="AI348">
        <v>17</v>
      </c>
      <c r="AJ348">
        <v>0</v>
      </c>
      <c r="AK348">
        <v>0</v>
      </c>
      <c r="AL348" t="s">
        <v>5361</v>
      </c>
      <c r="AM348" t="s">
        <v>5362</v>
      </c>
      <c r="AN348" t="s">
        <v>5363</v>
      </c>
      <c r="AO348" t="s">
        <v>5364</v>
      </c>
      <c r="AP348" t="s">
        <v>74</v>
      </c>
      <c r="AQ348" t="s">
        <v>74</v>
      </c>
      <c r="AR348" t="s">
        <v>5365</v>
      </c>
      <c r="AS348" t="s">
        <v>5366</v>
      </c>
      <c r="AT348" t="s">
        <v>4604</v>
      </c>
      <c r="AU348">
        <v>2003</v>
      </c>
      <c r="AV348">
        <v>19</v>
      </c>
      <c r="AW348">
        <v>3</v>
      </c>
      <c r="AX348" t="s">
        <v>74</v>
      </c>
      <c r="AY348" t="s">
        <v>74</v>
      </c>
      <c r="AZ348" t="s">
        <v>74</v>
      </c>
      <c r="BA348" t="s">
        <v>74</v>
      </c>
      <c r="BB348">
        <v>581</v>
      </c>
      <c r="BC348">
        <v>589</v>
      </c>
      <c r="BD348" t="s">
        <v>74</v>
      </c>
      <c r="BE348" t="s">
        <v>5367</v>
      </c>
      <c r="BF348" t="str">
        <f>HYPERLINK("http://dx.doi.org/10.1111/j.1748-7692.2003.tb01322.x","http://dx.doi.org/10.1111/j.1748-7692.2003.tb01322.x")</f>
        <v>http://dx.doi.org/10.1111/j.1748-7692.2003.tb01322.x</v>
      </c>
      <c r="BG348" t="s">
        <v>74</v>
      </c>
      <c r="BH348" t="s">
        <v>74</v>
      </c>
      <c r="BI348">
        <v>9</v>
      </c>
      <c r="BJ348" t="s">
        <v>3814</v>
      </c>
      <c r="BK348" t="s">
        <v>94</v>
      </c>
      <c r="BL348" t="s">
        <v>3814</v>
      </c>
      <c r="BM348" t="s">
        <v>5368</v>
      </c>
      <c r="BN348" t="s">
        <v>74</v>
      </c>
      <c r="BO348" t="s">
        <v>74</v>
      </c>
      <c r="BP348" t="s">
        <v>74</v>
      </c>
      <c r="BQ348" t="s">
        <v>74</v>
      </c>
      <c r="BR348" t="s">
        <v>97</v>
      </c>
      <c r="BS348" t="s">
        <v>5369</v>
      </c>
      <c r="BT348" t="str">
        <f>HYPERLINK("https%3A%2F%2Fwww.webofscience.com%2Fwos%2Fwoscc%2Ffull-record%2FWOS:000183992800009","View Full Record in Web of Science")</f>
        <v>View Full Record in Web of Science</v>
      </c>
    </row>
    <row r="349" spans="1:72" x14ac:dyDescent="0.15">
      <c r="A349" t="s">
        <v>72</v>
      </c>
      <c r="B349" t="s">
        <v>5370</v>
      </c>
      <c r="C349" t="s">
        <v>74</v>
      </c>
      <c r="D349" t="s">
        <v>74</v>
      </c>
      <c r="E349" t="s">
        <v>74</v>
      </c>
      <c r="F349" t="s">
        <v>5371</v>
      </c>
      <c r="G349" t="s">
        <v>74</v>
      </c>
      <c r="H349" t="s">
        <v>74</v>
      </c>
      <c r="I349" t="s">
        <v>5372</v>
      </c>
      <c r="J349" t="s">
        <v>2243</v>
      </c>
      <c r="K349" t="s">
        <v>74</v>
      </c>
      <c r="L349" t="s">
        <v>74</v>
      </c>
      <c r="M349" t="s">
        <v>77</v>
      </c>
      <c r="N349" t="s">
        <v>52</v>
      </c>
      <c r="O349" t="s">
        <v>74</v>
      </c>
      <c r="P349" t="s">
        <v>74</v>
      </c>
      <c r="Q349" t="s">
        <v>74</v>
      </c>
      <c r="R349" t="s">
        <v>74</v>
      </c>
      <c r="S349" t="s">
        <v>74</v>
      </c>
      <c r="T349" t="s">
        <v>74</v>
      </c>
      <c r="U349" t="s">
        <v>74</v>
      </c>
      <c r="V349" t="s">
        <v>74</v>
      </c>
      <c r="W349" t="s">
        <v>5373</v>
      </c>
      <c r="X349" t="s">
        <v>5374</v>
      </c>
      <c r="Y349" t="s">
        <v>74</v>
      </c>
      <c r="Z349" t="s">
        <v>5375</v>
      </c>
      <c r="AA349" t="s">
        <v>74</v>
      </c>
      <c r="AB349" t="s">
        <v>74</v>
      </c>
      <c r="AC349" t="s">
        <v>74</v>
      </c>
      <c r="AD349" t="s">
        <v>74</v>
      </c>
      <c r="AE349" t="s">
        <v>74</v>
      </c>
      <c r="AF349" t="s">
        <v>74</v>
      </c>
      <c r="AG349">
        <v>5</v>
      </c>
      <c r="AH349">
        <v>0</v>
      </c>
      <c r="AI349">
        <v>0</v>
      </c>
      <c r="AJ349">
        <v>0</v>
      </c>
      <c r="AK349">
        <v>0</v>
      </c>
      <c r="AL349" t="s">
        <v>250</v>
      </c>
      <c r="AM349" t="s">
        <v>251</v>
      </c>
      <c r="AN349" t="s">
        <v>252</v>
      </c>
      <c r="AO349" t="s">
        <v>2253</v>
      </c>
      <c r="AP349" t="s">
        <v>5376</v>
      </c>
      <c r="AQ349" t="s">
        <v>74</v>
      </c>
      <c r="AR349" t="s">
        <v>2254</v>
      </c>
      <c r="AS349" t="s">
        <v>2255</v>
      </c>
      <c r="AT349" t="s">
        <v>4604</v>
      </c>
      <c r="AU349">
        <v>2003</v>
      </c>
      <c r="AV349">
        <v>38</v>
      </c>
      <c r="AW349">
        <v>7</v>
      </c>
      <c r="AX349" t="s">
        <v>74</v>
      </c>
      <c r="AY349" t="s">
        <v>5377</v>
      </c>
      <c r="AZ349" t="s">
        <v>74</v>
      </c>
      <c r="BA349" t="s">
        <v>74</v>
      </c>
      <c r="BB349" t="s">
        <v>5378</v>
      </c>
      <c r="BC349" t="s">
        <v>5378</v>
      </c>
      <c r="BD349" t="s">
        <v>74</v>
      </c>
      <c r="BE349" t="s">
        <v>74</v>
      </c>
      <c r="BF349" t="s">
        <v>74</v>
      </c>
      <c r="BG349" t="s">
        <v>74</v>
      </c>
      <c r="BH349" t="s">
        <v>74</v>
      </c>
      <c r="BI349">
        <v>1</v>
      </c>
      <c r="BJ349" t="s">
        <v>176</v>
      </c>
      <c r="BK349" t="s">
        <v>94</v>
      </c>
      <c r="BL349" t="s">
        <v>176</v>
      </c>
      <c r="BM349" t="s">
        <v>5379</v>
      </c>
      <c r="BN349" t="s">
        <v>74</v>
      </c>
      <c r="BO349" t="s">
        <v>74</v>
      </c>
      <c r="BP349" t="s">
        <v>74</v>
      </c>
      <c r="BQ349" t="s">
        <v>74</v>
      </c>
      <c r="BR349" t="s">
        <v>97</v>
      </c>
      <c r="BS349" t="s">
        <v>5380</v>
      </c>
      <c r="BT349" t="str">
        <f>HYPERLINK("https%3A%2F%2Fwww.webofscience.com%2Fwos%2Fwoscc%2Ffull-record%2FWOS:000522623600163","View Full Record in Web of Science")</f>
        <v>View Full Record in Web of Science</v>
      </c>
    </row>
    <row r="350" spans="1:72" x14ac:dyDescent="0.15">
      <c r="A350" t="s">
        <v>72</v>
      </c>
      <c r="B350" t="s">
        <v>5381</v>
      </c>
      <c r="C350" t="s">
        <v>74</v>
      </c>
      <c r="D350" t="s">
        <v>74</v>
      </c>
      <c r="E350" t="s">
        <v>74</v>
      </c>
      <c r="F350" t="s">
        <v>5382</v>
      </c>
      <c r="G350" t="s">
        <v>74</v>
      </c>
      <c r="H350" t="s">
        <v>74</v>
      </c>
      <c r="I350" t="s">
        <v>5383</v>
      </c>
      <c r="J350" t="s">
        <v>2243</v>
      </c>
      <c r="K350" t="s">
        <v>74</v>
      </c>
      <c r="L350" t="s">
        <v>74</v>
      </c>
      <c r="M350" t="s">
        <v>77</v>
      </c>
      <c r="N350" t="s">
        <v>52</v>
      </c>
      <c r="O350" t="s">
        <v>74</v>
      </c>
      <c r="P350" t="s">
        <v>74</v>
      </c>
      <c r="Q350" t="s">
        <v>74</v>
      </c>
      <c r="R350" t="s">
        <v>74</v>
      </c>
      <c r="S350" t="s">
        <v>74</v>
      </c>
      <c r="T350" t="s">
        <v>74</v>
      </c>
      <c r="U350" t="s">
        <v>74</v>
      </c>
      <c r="V350" t="s">
        <v>74</v>
      </c>
      <c r="W350" t="s">
        <v>5384</v>
      </c>
      <c r="X350" t="s">
        <v>5385</v>
      </c>
      <c r="Y350" t="s">
        <v>74</v>
      </c>
      <c r="Z350" t="s">
        <v>5386</v>
      </c>
      <c r="AA350" t="s">
        <v>74</v>
      </c>
      <c r="AB350" t="s">
        <v>74</v>
      </c>
      <c r="AC350" t="s">
        <v>74</v>
      </c>
      <c r="AD350" t="s">
        <v>74</v>
      </c>
      <c r="AE350" t="s">
        <v>74</v>
      </c>
      <c r="AF350" t="s">
        <v>74</v>
      </c>
      <c r="AG350">
        <v>6</v>
      </c>
      <c r="AH350">
        <v>0</v>
      </c>
      <c r="AI350">
        <v>0</v>
      </c>
      <c r="AJ350">
        <v>0</v>
      </c>
      <c r="AK350">
        <v>0</v>
      </c>
      <c r="AL350" t="s">
        <v>250</v>
      </c>
      <c r="AM350" t="s">
        <v>251</v>
      </c>
      <c r="AN350" t="s">
        <v>252</v>
      </c>
      <c r="AO350" t="s">
        <v>2253</v>
      </c>
      <c r="AP350" t="s">
        <v>5376</v>
      </c>
      <c r="AQ350" t="s">
        <v>74</v>
      </c>
      <c r="AR350" t="s">
        <v>2254</v>
      </c>
      <c r="AS350" t="s">
        <v>2255</v>
      </c>
      <c r="AT350" t="s">
        <v>4604</v>
      </c>
      <c r="AU350">
        <v>2003</v>
      </c>
      <c r="AV350">
        <v>38</v>
      </c>
      <c r="AW350">
        <v>7</v>
      </c>
      <c r="AX350" t="s">
        <v>74</v>
      </c>
      <c r="AY350" t="s">
        <v>5377</v>
      </c>
      <c r="AZ350" t="s">
        <v>74</v>
      </c>
      <c r="BA350" t="s">
        <v>74</v>
      </c>
      <c r="BB350" t="s">
        <v>5387</v>
      </c>
      <c r="BC350" t="s">
        <v>5387</v>
      </c>
      <c r="BD350" t="s">
        <v>74</v>
      </c>
      <c r="BE350" t="s">
        <v>74</v>
      </c>
      <c r="BF350" t="s">
        <v>74</v>
      </c>
      <c r="BG350" t="s">
        <v>74</v>
      </c>
      <c r="BH350" t="s">
        <v>74</v>
      </c>
      <c r="BI350">
        <v>1</v>
      </c>
      <c r="BJ350" t="s">
        <v>176</v>
      </c>
      <c r="BK350" t="s">
        <v>94</v>
      </c>
      <c r="BL350" t="s">
        <v>176</v>
      </c>
      <c r="BM350" t="s">
        <v>5379</v>
      </c>
      <c r="BN350" t="s">
        <v>74</v>
      </c>
      <c r="BO350" t="s">
        <v>74</v>
      </c>
      <c r="BP350" t="s">
        <v>74</v>
      </c>
      <c r="BQ350" t="s">
        <v>74</v>
      </c>
      <c r="BR350" t="s">
        <v>97</v>
      </c>
      <c r="BS350" t="s">
        <v>5388</v>
      </c>
      <c r="BT350" t="str">
        <f>HYPERLINK("https%3A%2F%2Fwww.webofscience.com%2Fwos%2Fwoscc%2Ffull-record%2FWOS:000522623600204","View Full Record in Web of Science")</f>
        <v>View Full Record in Web of Science</v>
      </c>
    </row>
    <row r="351" spans="1:72" x14ac:dyDescent="0.15">
      <c r="A351" t="s">
        <v>72</v>
      </c>
      <c r="B351" t="s">
        <v>5389</v>
      </c>
      <c r="C351" t="s">
        <v>74</v>
      </c>
      <c r="D351" t="s">
        <v>74</v>
      </c>
      <c r="E351" t="s">
        <v>74</v>
      </c>
      <c r="F351" t="s">
        <v>5390</v>
      </c>
      <c r="G351" t="s">
        <v>74</v>
      </c>
      <c r="H351" t="s">
        <v>74</v>
      </c>
      <c r="I351" t="s">
        <v>5391</v>
      </c>
      <c r="J351" t="s">
        <v>2243</v>
      </c>
      <c r="K351" t="s">
        <v>74</v>
      </c>
      <c r="L351" t="s">
        <v>74</v>
      </c>
      <c r="M351" t="s">
        <v>77</v>
      </c>
      <c r="N351" t="s">
        <v>52</v>
      </c>
      <c r="O351" t="s">
        <v>74</v>
      </c>
      <c r="P351" t="s">
        <v>74</v>
      </c>
      <c r="Q351" t="s">
        <v>74</v>
      </c>
      <c r="R351" t="s">
        <v>74</v>
      </c>
      <c r="S351" t="s">
        <v>74</v>
      </c>
      <c r="T351" t="s">
        <v>74</v>
      </c>
      <c r="U351" t="s">
        <v>74</v>
      </c>
      <c r="V351" t="s">
        <v>74</v>
      </c>
      <c r="W351" t="s">
        <v>5392</v>
      </c>
      <c r="X351" t="s">
        <v>5393</v>
      </c>
      <c r="Y351" t="s">
        <v>74</v>
      </c>
      <c r="Z351" t="s">
        <v>5394</v>
      </c>
      <c r="AA351" t="s">
        <v>74</v>
      </c>
      <c r="AB351" t="s">
        <v>74</v>
      </c>
      <c r="AC351" t="s">
        <v>5395</v>
      </c>
      <c r="AD351" t="s">
        <v>5396</v>
      </c>
      <c r="AE351" t="s">
        <v>5397</v>
      </c>
      <c r="AF351" t="s">
        <v>74</v>
      </c>
      <c r="AG351">
        <v>5</v>
      </c>
      <c r="AH351">
        <v>0</v>
      </c>
      <c r="AI351">
        <v>0</v>
      </c>
      <c r="AJ351">
        <v>1</v>
      </c>
      <c r="AK351">
        <v>3</v>
      </c>
      <c r="AL351" t="s">
        <v>250</v>
      </c>
      <c r="AM351" t="s">
        <v>251</v>
      </c>
      <c r="AN351" t="s">
        <v>252</v>
      </c>
      <c r="AO351" t="s">
        <v>2253</v>
      </c>
      <c r="AP351" t="s">
        <v>5376</v>
      </c>
      <c r="AQ351" t="s">
        <v>74</v>
      </c>
      <c r="AR351" t="s">
        <v>2254</v>
      </c>
      <c r="AS351" t="s">
        <v>2255</v>
      </c>
      <c r="AT351" t="s">
        <v>4604</v>
      </c>
      <c r="AU351">
        <v>2003</v>
      </c>
      <c r="AV351">
        <v>38</v>
      </c>
      <c r="AW351">
        <v>7</v>
      </c>
      <c r="AX351" t="s">
        <v>74</v>
      </c>
      <c r="AY351" t="s">
        <v>5377</v>
      </c>
      <c r="AZ351" t="s">
        <v>74</v>
      </c>
      <c r="BA351" t="s">
        <v>74</v>
      </c>
      <c r="BB351" t="s">
        <v>5398</v>
      </c>
      <c r="BC351" t="s">
        <v>5398</v>
      </c>
      <c r="BD351" t="s">
        <v>74</v>
      </c>
      <c r="BE351" t="s">
        <v>74</v>
      </c>
      <c r="BF351" t="s">
        <v>74</v>
      </c>
      <c r="BG351" t="s">
        <v>74</v>
      </c>
      <c r="BH351" t="s">
        <v>74</v>
      </c>
      <c r="BI351">
        <v>1</v>
      </c>
      <c r="BJ351" t="s">
        <v>176</v>
      </c>
      <c r="BK351" t="s">
        <v>94</v>
      </c>
      <c r="BL351" t="s">
        <v>176</v>
      </c>
      <c r="BM351" t="s">
        <v>5379</v>
      </c>
      <c r="BN351" t="s">
        <v>74</v>
      </c>
      <c r="BO351" t="s">
        <v>74</v>
      </c>
      <c r="BP351" t="s">
        <v>74</v>
      </c>
      <c r="BQ351" t="s">
        <v>74</v>
      </c>
      <c r="BR351" t="s">
        <v>97</v>
      </c>
      <c r="BS351" t="s">
        <v>5399</v>
      </c>
      <c r="BT351" t="str">
        <f>HYPERLINK("https%3A%2F%2Fwww.webofscience.com%2Fwos%2Fwoscc%2Ffull-record%2FWOS:000522623600057","View Full Record in Web of Science")</f>
        <v>View Full Record in Web of Science</v>
      </c>
    </row>
    <row r="352" spans="1:72" x14ac:dyDescent="0.15">
      <c r="A352" t="s">
        <v>72</v>
      </c>
      <c r="B352" t="s">
        <v>5400</v>
      </c>
      <c r="C352" t="s">
        <v>74</v>
      </c>
      <c r="D352" t="s">
        <v>74</v>
      </c>
      <c r="E352" t="s">
        <v>74</v>
      </c>
      <c r="F352" t="s">
        <v>5401</v>
      </c>
      <c r="G352" t="s">
        <v>74</v>
      </c>
      <c r="H352" t="s">
        <v>74</v>
      </c>
      <c r="I352" t="s">
        <v>5402</v>
      </c>
      <c r="J352" t="s">
        <v>2243</v>
      </c>
      <c r="K352" t="s">
        <v>74</v>
      </c>
      <c r="L352" t="s">
        <v>74</v>
      </c>
      <c r="M352" t="s">
        <v>77</v>
      </c>
      <c r="N352" t="s">
        <v>52</v>
      </c>
      <c r="O352" t="s">
        <v>74</v>
      </c>
      <c r="P352" t="s">
        <v>74</v>
      </c>
      <c r="Q352" t="s">
        <v>74</v>
      </c>
      <c r="R352" t="s">
        <v>74</v>
      </c>
      <c r="S352" t="s">
        <v>74</v>
      </c>
      <c r="T352" t="s">
        <v>74</v>
      </c>
      <c r="U352" t="s">
        <v>74</v>
      </c>
      <c r="V352" t="s">
        <v>74</v>
      </c>
      <c r="W352" t="s">
        <v>5403</v>
      </c>
      <c r="X352" t="s">
        <v>5404</v>
      </c>
      <c r="Y352" t="s">
        <v>74</v>
      </c>
      <c r="Z352" t="s">
        <v>74</v>
      </c>
      <c r="AA352" t="s">
        <v>74</v>
      </c>
      <c r="AB352" t="s">
        <v>74</v>
      </c>
      <c r="AC352" t="s">
        <v>74</v>
      </c>
      <c r="AD352" t="s">
        <v>74</v>
      </c>
      <c r="AE352" t="s">
        <v>74</v>
      </c>
      <c r="AF352" t="s">
        <v>74</v>
      </c>
      <c r="AG352">
        <v>5</v>
      </c>
      <c r="AH352">
        <v>6</v>
      </c>
      <c r="AI352">
        <v>6</v>
      </c>
      <c r="AJ352">
        <v>0</v>
      </c>
      <c r="AK352">
        <v>0</v>
      </c>
      <c r="AL352" t="s">
        <v>250</v>
      </c>
      <c r="AM352" t="s">
        <v>251</v>
      </c>
      <c r="AN352" t="s">
        <v>252</v>
      </c>
      <c r="AO352" t="s">
        <v>2253</v>
      </c>
      <c r="AP352" t="s">
        <v>5376</v>
      </c>
      <c r="AQ352" t="s">
        <v>74</v>
      </c>
      <c r="AR352" t="s">
        <v>2254</v>
      </c>
      <c r="AS352" t="s">
        <v>2255</v>
      </c>
      <c r="AT352" t="s">
        <v>4604</v>
      </c>
      <c r="AU352">
        <v>2003</v>
      </c>
      <c r="AV352">
        <v>38</v>
      </c>
      <c r="AW352">
        <v>7</v>
      </c>
      <c r="AX352" t="s">
        <v>74</v>
      </c>
      <c r="AY352" t="s">
        <v>5377</v>
      </c>
      <c r="AZ352" t="s">
        <v>74</v>
      </c>
      <c r="BA352" t="s">
        <v>74</v>
      </c>
      <c r="BB352" t="s">
        <v>5405</v>
      </c>
      <c r="BC352" t="s">
        <v>5405</v>
      </c>
      <c r="BD352" t="s">
        <v>74</v>
      </c>
      <c r="BE352" t="s">
        <v>74</v>
      </c>
      <c r="BF352" t="s">
        <v>74</v>
      </c>
      <c r="BG352" t="s">
        <v>74</v>
      </c>
      <c r="BH352" t="s">
        <v>74</v>
      </c>
      <c r="BI352">
        <v>1</v>
      </c>
      <c r="BJ352" t="s">
        <v>176</v>
      </c>
      <c r="BK352" t="s">
        <v>94</v>
      </c>
      <c r="BL352" t="s">
        <v>176</v>
      </c>
      <c r="BM352" t="s">
        <v>5379</v>
      </c>
      <c r="BN352" t="s">
        <v>74</v>
      </c>
      <c r="BO352" t="s">
        <v>74</v>
      </c>
      <c r="BP352" t="s">
        <v>74</v>
      </c>
      <c r="BQ352" t="s">
        <v>74</v>
      </c>
      <c r="BR352" t="s">
        <v>97</v>
      </c>
      <c r="BS352" t="s">
        <v>5406</v>
      </c>
      <c r="BT352" t="str">
        <f>HYPERLINK("https%3A%2F%2Fwww.webofscience.com%2Fwos%2Fwoscc%2Ffull-record%2FWOS:000522623600178","View Full Record in Web of Science")</f>
        <v>View Full Record in Web of Science</v>
      </c>
    </row>
    <row r="353" spans="1:72" x14ac:dyDescent="0.15">
      <c r="A353" t="s">
        <v>72</v>
      </c>
      <c r="B353" t="s">
        <v>5407</v>
      </c>
      <c r="C353" t="s">
        <v>74</v>
      </c>
      <c r="D353" t="s">
        <v>74</v>
      </c>
      <c r="E353" t="s">
        <v>74</v>
      </c>
      <c r="F353" t="s">
        <v>5408</v>
      </c>
      <c r="G353" t="s">
        <v>74</v>
      </c>
      <c r="H353" t="s">
        <v>74</v>
      </c>
      <c r="I353" t="s">
        <v>5409</v>
      </c>
      <c r="J353" t="s">
        <v>2243</v>
      </c>
      <c r="K353" t="s">
        <v>74</v>
      </c>
      <c r="L353" t="s">
        <v>74</v>
      </c>
      <c r="M353" t="s">
        <v>77</v>
      </c>
      <c r="N353" t="s">
        <v>52</v>
      </c>
      <c r="O353" t="s">
        <v>74</v>
      </c>
      <c r="P353" t="s">
        <v>74</v>
      </c>
      <c r="Q353" t="s">
        <v>74</v>
      </c>
      <c r="R353" t="s">
        <v>74</v>
      </c>
      <c r="S353" t="s">
        <v>74</v>
      </c>
      <c r="T353" t="s">
        <v>74</v>
      </c>
      <c r="U353" t="s">
        <v>74</v>
      </c>
      <c r="V353" t="s">
        <v>74</v>
      </c>
      <c r="W353" t="s">
        <v>5410</v>
      </c>
      <c r="X353" t="s">
        <v>5411</v>
      </c>
      <c r="Y353" t="s">
        <v>74</v>
      </c>
      <c r="Z353" t="s">
        <v>5412</v>
      </c>
      <c r="AA353" t="s">
        <v>74</v>
      </c>
      <c r="AB353" t="s">
        <v>74</v>
      </c>
      <c r="AC353" t="s">
        <v>74</v>
      </c>
      <c r="AD353" t="s">
        <v>74</v>
      </c>
      <c r="AE353" t="s">
        <v>74</v>
      </c>
      <c r="AF353" t="s">
        <v>74</v>
      </c>
      <c r="AG353">
        <v>5</v>
      </c>
      <c r="AH353">
        <v>0</v>
      </c>
      <c r="AI353">
        <v>0</v>
      </c>
      <c r="AJ353">
        <v>0</v>
      </c>
      <c r="AK353">
        <v>0</v>
      </c>
      <c r="AL353" t="s">
        <v>250</v>
      </c>
      <c r="AM353" t="s">
        <v>251</v>
      </c>
      <c r="AN353" t="s">
        <v>252</v>
      </c>
      <c r="AO353" t="s">
        <v>2253</v>
      </c>
      <c r="AP353" t="s">
        <v>5376</v>
      </c>
      <c r="AQ353" t="s">
        <v>74</v>
      </c>
      <c r="AR353" t="s">
        <v>2254</v>
      </c>
      <c r="AS353" t="s">
        <v>2255</v>
      </c>
      <c r="AT353" t="s">
        <v>4604</v>
      </c>
      <c r="AU353">
        <v>2003</v>
      </c>
      <c r="AV353">
        <v>38</v>
      </c>
      <c r="AW353">
        <v>7</v>
      </c>
      <c r="AX353" t="s">
        <v>74</v>
      </c>
      <c r="AY353" t="s">
        <v>5377</v>
      </c>
      <c r="AZ353" t="s">
        <v>74</v>
      </c>
      <c r="BA353" t="s">
        <v>74</v>
      </c>
      <c r="BB353" t="s">
        <v>5413</v>
      </c>
      <c r="BC353" t="s">
        <v>5413</v>
      </c>
      <c r="BD353" t="s">
        <v>74</v>
      </c>
      <c r="BE353" t="s">
        <v>74</v>
      </c>
      <c r="BF353" t="s">
        <v>74</v>
      </c>
      <c r="BG353" t="s">
        <v>74</v>
      </c>
      <c r="BH353" t="s">
        <v>74</v>
      </c>
      <c r="BI353">
        <v>1</v>
      </c>
      <c r="BJ353" t="s">
        <v>176</v>
      </c>
      <c r="BK353" t="s">
        <v>94</v>
      </c>
      <c r="BL353" t="s">
        <v>176</v>
      </c>
      <c r="BM353" t="s">
        <v>5379</v>
      </c>
      <c r="BN353" t="s">
        <v>74</v>
      </c>
      <c r="BO353" t="s">
        <v>74</v>
      </c>
      <c r="BP353" t="s">
        <v>74</v>
      </c>
      <c r="BQ353" t="s">
        <v>74</v>
      </c>
      <c r="BR353" t="s">
        <v>97</v>
      </c>
      <c r="BS353" t="s">
        <v>5414</v>
      </c>
      <c r="BT353" t="str">
        <f>HYPERLINK("https%3A%2F%2Fwww.webofscience.com%2Fwos%2Fwoscc%2Ffull-record%2FWOS:000522623600291","View Full Record in Web of Science")</f>
        <v>View Full Record in Web of Science</v>
      </c>
    </row>
    <row r="354" spans="1:72" x14ac:dyDescent="0.15">
      <c r="A354" t="s">
        <v>72</v>
      </c>
      <c r="B354" t="s">
        <v>5415</v>
      </c>
      <c r="C354" t="s">
        <v>74</v>
      </c>
      <c r="D354" t="s">
        <v>74</v>
      </c>
      <c r="E354" t="s">
        <v>74</v>
      </c>
      <c r="F354" t="s">
        <v>5416</v>
      </c>
      <c r="G354" t="s">
        <v>74</v>
      </c>
      <c r="H354" t="s">
        <v>74</v>
      </c>
      <c r="I354" t="s">
        <v>5417</v>
      </c>
      <c r="J354" t="s">
        <v>2243</v>
      </c>
      <c r="K354" t="s">
        <v>74</v>
      </c>
      <c r="L354" t="s">
        <v>74</v>
      </c>
      <c r="M354" t="s">
        <v>77</v>
      </c>
      <c r="N354" t="s">
        <v>52</v>
      </c>
      <c r="O354" t="s">
        <v>74</v>
      </c>
      <c r="P354" t="s">
        <v>74</v>
      </c>
      <c r="Q354" t="s">
        <v>74</v>
      </c>
      <c r="R354" t="s">
        <v>74</v>
      </c>
      <c r="S354" t="s">
        <v>74</v>
      </c>
      <c r="T354" t="s">
        <v>74</v>
      </c>
      <c r="U354" t="s">
        <v>74</v>
      </c>
      <c r="V354" t="s">
        <v>74</v>
      </c>
      <c r="W354" t="s">
        <v>5418</v>
      </c>
      <c r="X354" t="s">
        <v>74</v>
      </c>
      <c r="Y354" t="s">
        <v>74</v>
      </c>
      <c r="Z354" t="s">
        <v>5419</v>
      </c>
      <c r="AA354" t="s">
        <v>74</v>
      </c>
      <c r="AB354" t="s">
        <v>74</v>
      </c>
      <c r="AC354" t="s">
        <v>74</v>
      </c>
      <c r="AD354" t="s">
        <v>74</v>
      </c>
      <c r="AE354" t="s">
        <v>74</v>
      </c>
      <c r="AF354" t="s">
        <v>74</v>
      </c>
      <c r="AG354">
        <v>0</v>
      </c>
      <c r="AH354">
        <v>0</v>
      </c>
      <c r="AI354">
        <v>0</v>
      </c>
      <c r="AJ354">
        <v>0</v>
      </c>
      <c r="AK354">
        <v>0</v>
      </c>
      <c r="AL354" t="s">
        <v>250</v>
      </c>
      <c r="AM354" t="s">
        <v>251</v>
      </c>
      <c r="AN354" t="s">
        <v>252</v>
      </c>
      <c r="AO354" t="s">
        <v>2253</v>
      </c>
      <c r="AP354" t="s">
        <v>5376</v>
      </c>
      <c r="AQ354" t="s">
        <v>74</v>
      </c>
      <c r="AR354" t="s">
        <v>2254</v>
      </c>
      <c r="AS354" t="s">
        <v>2255</v>
      </c>
      <c r="AT354" t="s">
        <v>4604</v>
      </c>
      <c r="AU354">
        <v>2003</v>
      </c>
      <c r="AV354">
        <v>38</v>
      </c>
      <c r="AW354">
        <v>7</v>
      </c>
      <c r="AX354" t="s">
        <v>74</v>
      </c>
      <c r="AY354" t="s">
        <v>5377</v>
      </c>
      <c r="AZ354" t="s">
        <v>74</v>
      </c>
      <c r="BA354" t="s">
        <v>74</v>
      </c>
      <c r="BB354" t="s">
        <v>5420</v>
      </c>
      <c r="BC354" t="s">
        <v>5420</v>
      </c>
      <c r="BD354" t="s">
        <v>74</v>
      </c>
      <c r="BE354" t="s">
        <v>74</v>
      </c>
      <c r="BF354" t="s">
        <v>74</v>
      </c>
      <c r="BG354" t="s">
        <v>74</v>
      </c>
      <c r="BH354" t="s">
        <v>74</v>
      </c>
      <c r="BI354">
        <v>1</v>
      </c>
      <c r="BJ354" t="s">
        <v>176</v>
      </c>
      <c r="BK354" t="s">
        <v>94</v>
      </c>
      <c r="BL354" t="s">
        <v>176</v>
      </c>
      <c r="BM354" t="s">
        <v>5379</v>
      </c>
      <c r="BN354" t="s">
        <v>74</v>
      </c>
      <c r="BO354" t="s">
        <v>74</v>
      </c>
      <c r="BP354" t="s">
        <v>74</v>
      </c>
      <c r="BQ354" t="s">
        <v>74</v>
      </c>
      <c r="BR354" t="s">
        <v>97</v>
      </c>
      <c r="BS354" t="s">
        <v>5421</v>
      </c>
      <c r="BT354" t="str">
        <f>HYPERLINK("https%3A%2F%2Fwww.webofscience.com%2Fwos%2Fwoscc%2Ffull-record%2FWOS:000522623600144","View Full Record in Web of Science")</f>
        <v>View Full Record in Web of Science</v>
      </c>
    </row>
    <row r="355" spans="1:72" x14ac:dyDescent="0.15">
      <c r="A355" t="s">
        <v>72</v>
      </c>
      <c r="B355" t="s">
        <v>5422</v>
      </c>
      <c r="C355" t="s">
        <v>74</v>
      </c>
      <c r="D355" t="s">
        <v>74</v>
      </c>
      <c r="E355" t="s">
        <v>74</v>
      </c>
      <c r="F355" t="s">
        <v>5423</v>
      </c>
      <c r="G355" t="s">
        <v>74</v>
      </c>
      <c r="H355" t="s">
        <v>74</v>
      </c>
      <c r="I355" t="s">
        <v>5424</v>
      </c>
      <c r="J355" t="s">
        <v>2243</v>
      </c>
      <c r="K355" t="s">
        <v>74</v>
      </c>
      <c r="L355" t="s">
        <v>74</v>
      </c>
      <c r="M355" t="s">
        <v>77</v>
      </c>
      <c r="N355" t="s">
        <v>78</v>
      </c>
      <c r="O355" t="s">
        <v>74</v>
      </c>
      <c r="P355" t="s">
        <v>74</v>
      </c>
      <c r="Q355" t="s">
        <v>74</v>
      </c>
      <c r="R355" t="s">
        <v>74</v>
      </c>
      <c r="S355" t="s">
        <v>74</v>
      </c>
      <c r="T355" t="s">
        <v>74</v>
      </c>
      <c r="U355" t="s">
        <v>74</v>
      </c>
      <c r="V355" t="s">
        <v>5425</v>
      </c>
      <c r="W355" t="s">
        <v>5426</v>
      </c>
      <c r="X355" t="s">
        <v>5427</v>
      </c>
      <c r="Y355" t="s">
        <v>5428</v>
      </c>
      <c r="Z355" t="s">
        <v>5429</v>
      </c>
      <c r="AA355" t="s">
        <v>74</v>
      </c>
      <c r="AB355" t="s">
        <v>74</v>
      </c>
      <c r="AC355" t="s">
        <v>74</v>
      </c>
      <c r="AD355" t="s">
        <v>74</v>
      </c>
      <c r="AE355" t="s">
        <v>74</v>
      </c>
      <c r="AF355" t="s">
        <v>74</v>
      </c>
      <c r="AG355">
        <v>23</v>
      </c>
      <c r="AH355">
        <v>0</v>
      </c>
      <c r="AI355">
        <v>0</v>
      </c>
      <c r="AJ355">
        <v>0</v>
      </c>
      <c r="AK355">
        <v>0</v>
      </c>
      <c r="AL355" t="s">
        <v>250</v>
      </c>
      <c r="AM355" t="s">
        <v>251</v>
      </c>
      <c r="AN355" t="s">
        <v>252</v>
      </c>
      <c r="AO355" t="s">
        <v>2253</v>
      </c>
      <c r="AP355" t="s">
        <v>5376</v>
      </c>
      <c r="AQ355" t="s">
        <v>74</v>
      </c>
      <c r="AR355" t="s">
        <v>2254</v>
      </c>
      <c r="AS355" t="s">
        <v>2255</v>
      </c>
      <c r="AT355" t="s">
        <v>4604</v>
      </c>
      <c r="AU355">
        <v>2003</v>
      </c>
      <c r="AV355">
        <v>38</v>
      </c>
      <c r="AW355">
        <v>7</v>
      </c>
      <c r="AX355" t="s">
        <v>74</v>
      </c>
      <c r="AY355" t="s">
        <v>5377</v>
      </c>
      <c r="AZ355" t="s">
        <v>74</v>
      </c>
      <c r="BA355" t="s">
        <v>74</v>
      </c>
      <c r="BB355" t="s">
        <v>5430</v>
      </c>
      <c r="BC355" t="s">
        <v>5431</v>
      </c>
      <c r="BD355" t="s">
        <v>74</v>
      </c>
      <c r="BE355" t="s">
        <v>74</v>
      </c>
      <c r="BF355" t="s">
        <v>74</v>
      </c>
      <c r="BG355" t="s">
        <v>74</v>
      </c>
      <c r="BH355" t="s">
        <v>74</v>
      </c>
      <c r="BI355">
        <v>11</v>
      </c>
      <c r="BJ355" t="s">
        <v>176</v>
      </c>
      <c r="BK355" t="s">
        <v>94</v>
      </c>
      <c r="BL355" t="s">
        <v>176</v>
      </c>
      <c r="BM355" t="s">
        <v>5379</v>
      </c>
      <c r="BN355" t="s">
        <v>74</v>
      </c>
      <c r="BO355" t="s">
        <v>74</v>
      </c>
      <c r="BP355" t="s">
        <v>74</v>
      </c>
      <c r="BQ355" t="s">
        <v>74</v>
      </c>
      <c r="BR355" t="s">
        <v>97</v>
      </c>
      <c r="BS355" t="s">
        <v>5432</v>
      </c>
      <c r="BT355" t="str">
        <f>HYPERLINK("https%3A%2F%2Fwww.webofscience.com%2Fwos%2Fwoscc%2Ffull-record%2FWOS:000522623600299","View Full Record in Web of Science")</f>
        <v>View Full Record in Web of Science</v>
      </c>
    </row>
    <row r="356" spans="1:72" x14ac:dyDescent="0.15">
      <c r="A356" t="s">
        <v>72</v>
      </c>
      <c r="B356" t="s">
        <v>5433</v>
      </c>
      <c r="C356" t="s">
        <v>74</v>
      </c>
      <c r="D356" t="s">
        <v>74</v>
      </c>
      <c r="E356" t="s">
        <v>74</v>
      </c>
      <c r="F356" t="s">
        <v>5434</v>
      </c>
      <c r="G356" t="s">
        <v>74</v>
      </c>
      <c r="H356" t="s">
        <v>74</v>
      </c>
      <c r="I356" t="s">
        <v>5435</v>
      </c>
      <c r="J356" t="s">
        <v>2243</v>
      </c>
      <c r="K356" t="s">
        <v>74</v>
      </c>
      <c r="L356" t="s">
        <v>74</v>
      </c>
      <c r="M356" t="s">
        <v>77</v>
      </c>
      <c r="N356" t="s">
        <v>52</v>
      </c>
      <c r="O356" t="s">
        <v>74</v>
      </c>
      <c r="P356" t="s">
        <v>74</v>
      </c>
      <c r="Q356" t="s">
        <v>74</v>
      </c>
      <c r="R356" t="s">
        <v>74</v>
      </c>
      <c r="S356" t="s">
        <v>74</v>
      </c>
      <c r="T356" t="s">
        <v>74</v>
      </c>
      <c r="U356" t="s">
        <v>74</v>
      </c>
      <c r="V356" t="s">
        <v>74</v>
      </c>
      <c r="W356" t="s">
        <v>5436</v>
      </c>
      <c r="X356" t="s">
        <v>5437</v>
      </c>
      <c r="Y356" t="s">
        <v>74</v>
      </c>
      <c r="Z356" t="s">
        <v>5438</v>
      </c>
      <c r="AA356" t="s">
        <v>5439</v>
      </c>
      <c r="AB356" t="s">
        <v>74</v>
      </c>
      <c r="AC356" t="s">
        <v>74</v>
      </c>
      <c r="AD356" t="s">
        <v>74</v>
      </c>
      <c r="AE356" t="s">
        <v>74</v>
      </c>
      <c r="AF356" t="s">
        <v>74</v>
      </c>
      <c r="AG356">
        <v>3</v>
      </c>
      <c r="AH356">
        <v>2</v>
      </c>
      <c r="AI356">
        <v>2</v>
      </c>
      <c r="AJ356">
        <v>0</v>
      </c>
      <c r="AK356">
        <v>0</v>
      </c>
      <c r="AL356" t="s">
        <v>250</v>
      </c>
      <c r="AM356" t="s">
        <v>251</v>
      </c>
      <c r="AN356" t="s">
        <v>252</v>
      </c>
      <c r="AO356" t="s">
        <v>2253</v>
      </c>
      <c r="AP356" t="s">
        <v>5376</v>
      </c>
      <c r="AQ356" t="s">
        <v>74</v>
      </c>
      <c r="AR356" t="s">
        <v>2254</v>
      </c>
      <c r="AS356" t="s">
        <v>2255</v>
      </c>
      <c r="AT356" t="s">
        <v>4604</v>
      </c>
      <c r="AU356">
        <v>2003</v>
      </c>
      <c r="AV356">
        <v>38</v>
      </c>
      <c r="AW356">
        <v>7</v>
      </c>
      <c r="AX356" t="s">
        <v>74</v>
      </c>
      <c r="AY356" t="s">
        <v>5377</v>
      </c>
      <c r="AZ356" t="s">
        <v>74</v>
      </c>
      <c r="BA356" t="s">
        <v>74</v>
      </c>
      <c r="BB356" t="s">
        <v>5440</v>
      </c>
      <c r="BC356" t="s">
        <v>5440</v>
      </c>
      <c r="BD356" t="s">
        <v>74</v>
      </c>
      <c r="BE356" t="s">
        <v>74</v>
      </c>
      <c r="BF356" t="s">
        <v>74</v>
      </c>
      <c r="BG356" t="s">
        <v>74</v>
      </c>
      <c r="BH356" t="s">
        <v>74</v>
      </c>
      <c r="BI356">
        <v>1</v>
      </c>
      <c r="BJ356" t="s">
        <v>176</v>
      </c>
      <c r="BK356" t="s">
        <v>94</v>
      </c>
      <c r="BL356" t="s">
        <v>176</v>
      </c>
      <c r="BM356" t="s">
        <v>5379</v>
      </c>
      <c r="BN356" t="s">
        <v>74</v>
      </c>
      <c r="BO356" t="s">
        <v>74</v>
      </c>
      <c r="BP356" t="s">
        <v>74</v>
      </c>
      <c r="BQ356" t="s">
        <v>74</v>
      </c>
      <c r="BR356" t="s">
        <v>97</v>
      </c>
      <c r="BS356" t="s">
        <v>5441</v>
      </c>
      <c r="BT356" t="str">
        <f>HYPERLINK("https%3A%2F%2Fwww.webofscience.com%2Fwos%2Fwoscc%2Ffull-record%2FWOS:000522623600019","View Full Record in Web of Science")</f>
        <v>View Full Record in Web of Science</v>
      </c>
    </row>
    <row r="357" spans="1:72" x14ac:dyDescent="0.15">
      <c r="A357" t="s">
        <v>72</v>
      </c>
      <c r="B357" t="s">
        <v>5442</v>
      </c>
      <c r="C357" t="s">
        <v>74</v>
      </c>
      <c r="D357" t="s">
        <v>74</v>
      </c>
      <c r="E357" t="s">
        <v>74</v>
      </c>
      <c r="F357" t="s">
        <v>5443</v>
      </c>
      <c r="G357" t="s">
        <v>74</v>
      </c>
      <c r="H357" t="s">
        <v>74</v>
      </c>
      <c r="I357" t="s">
        <v>5444</v>
      </c>
      <c r="J357" t="s">
        <v>2243</v>
      </c>
      <c r="K357" t="s">
        <v>74</v>
      </c>
      <c r="L357" t="s">
        <v>74</v>
      </c>
      <c r="M357" t="s">
        <v>77</v>
      </c>
      <c r="N357" t="s">
        <v>52</v>
      </c>
      <c r="O357" t="s">
        <v>74</v>
      </c>
      <c r="P357" t="s">
        <v>74</v>
      </c>
      <c r="Q357" t="s">
        <v>74</v>
      </c>
      <c r="R357" t="s">
        <v>74</v>
      </c>
      <c r="S357" t="s">
        <v>74</v>
      </c>
      <c r="T357" t="s">
        <v>74</v>
      </c>
      <c r="U357" t="s">
        <v>74</v>
      </c>
      <c r="V357" t="s">
        <v>74</v>
      </c>
      <c r="W357" t="s">
        <v>5445</v>
      </c>
      <c r="X357" t="s">
        <v>1732</v>
      </c>
      <c r="Y357" t="s">
        <v>74</v>
      </c>
      <c r="Z357" t="s">
        <v>5446</v>
      </c>
      <c r="AA357" t="s">
        <v>74</v>
      </c>
      <c r="AB357" t="s">
        <v>74</v>
      </c>
      <c r="AC357" t="s">
        <v>74</v>
      </c>
      <c r="AD357" t="s">
        <v>74</v>
      </c>
      <c r="AE357" t="s">
        <v>74</v>
      </c>
      <c r="AF357" t="s">
        <v>74</v>
      </c>
      <c r="AG357">
        <v>5</v>
      </c>
      <c r="AH357">
        <v>0</v>
      </c>
      <c r="AI357">
        <v>0</v>
      </c>
      <c r="AJ357">
        <v>0</v>
      </c>
      <c r="AK357">
        <v>0</v>
      </c>
      <c r="AL357" t="s">
        <v>250</v>
      </c>
      <c r="AM357" t="s">
        <v>251</v>
      </c>
      <c r="AN357" t="s">
        <v>252</v>
      </c>
      <c r="AO357" t="s">
        <v>2253</v>
      </c>
      <c r="AP357" t="s">
        <v>5376</v>
      </c>
      <c r="AQ357" t="s">
        <v>74</v>
      </c>
      <c r="AR357" t="s">
        <v>2254</v>
      </c>
      <c r="AS357" t="s">
        <v>2255</v>
      </c>
      <c r="AT357" t="s">
        <v>4604</v>
      </c>
      <c r="AU357">
        <v>2003</v>
      </c>
      <c r="AV357">
        <v>38</v>
      </c>
      <c r="AW357">
        <v>7</v>
      </c>
      <c r="AX357" t="s">
        <v>74</v>
      </c>
      <c r="AY357" t="s">
        <v>5377</v>
      </c>
      <c r="AZ357" t="s">
        <v>74</v>
      </c>
      <c r="BA357" t="s">
        <v>74</v>
      </c>
      <c r="BB357" t="s">
        <v>5447</v>
      </c>
      <c r="BC357" t="s">
        <v>5447</v>
      </c>
      <c r="BD357" t="s">
        <v>74</v>
      </c>
      <c r="BE357" t="s">
        <v>74</v>
      </c>
      <c r="BF357" t="s">
        <v>74</v>
      </c>
      <c r="BG357" t="s">
        <v>74</v>
      </c>
      <c r="BH357" t="s">
        <v>74</v>
      </c>
      <c r="BI357">
        <v>1</v>
      </c>
      <c r="BJ357" t="s">
        <v>176</v>
      </c>
      <c r="BK357" t="s">
        <v>94</v>
      </c>
      <c r="BL357" t="s">
        <v>176</v>
      </c>
      <c r="BM357" t="s">
        <v>5379</v>
      </c>
      <c r="BN357" t="s">
        <v>74</v>
      </c>
      <c r="BO357" t="s">
        <v>74</v>
      </c>
      <c r="BP357" t="s">
        <v>74</v>
      </c>
      <c r="BQ357" t="s">
        <v>74</v>
      </c>
      <c r="BR357" t="s">
        <v>97</v>
      </c>
      <c r="BS357" t="s">
        <v>5448</v>
      </c>
      <c r="BT357" t="str">
        <f>HYPERLINK("https%3A%2F%2Fwww.webofscience.com%2Fwos%2Fwoscc%2Ffull-record%2FWOS:000522623600174","View Full Record in Web of Science")</f>
        <v>View Full Record in Web of Science</v>
      </c>
    </row>
    <row r="358" spans="1:72" x14ac:dyDescent="0.15">
      <c r="A358" t="s">
        <v>72</v>
      </c>
      <c r="B358" t="s">
        <v>5449</v>
      </c>
      <c r="C358" t="s">
        <v>74</v>
      </c>
      <c r="D358" t="s">
        <v>74</v>
      </c>
      <c r="E358" t="s">
        <v>74</v>
      </c>
      <c r="F358" t="s">
        <v>5450</v>
      </c>
      <c r="G358" t="s">
        <v>74</v>
      </c>
      <c r="H358" t="s">
        <v>74</v>
      </c>
      <c r="I358" t="s">
        <v>5451</v>
      </c>
      <c r="J358" t="s">
        <v>2243</v>
      </c>
      <c r="K358" t="s">
        <v>74</v>
      </c>
      <c r="L358" t="s">
        <v>74</v>
      </c>
      <c r="M358" t="s">
        <v>77</v>
      </c>
      <c r="N358" t="s">
        <v>52</v>
      </c>
      <c r="O358" t="s">
        <v>74</v>
      </c>
      <c r="P358" t="s">
        <v>74</v>
      </c>
      <c r="Q358" t="s">
        <v>74</v>
      </c>
      <c r="R358" t="s">
        <v>74</v>
      </c>
      <c r="S358" t="s">
        <v>74</v>
      </c>
      <c r="T358" t="s">
        <v>74</v>
      </c>
      <c r="U358" t="s">
        <v>74</v>
      </c>
      <c r="V358" t="s">
        <v>74</v>
      </c>
      <c r="W358" t="s">
        <v>5452</v>
      </c>
      <c r="X358" t="s">
        <v>5453</v>
      </c>
      <c r="Y358" t="s">
        <v>74</v>
      </c>
      <c r="Z358" t="s">
        <v>5454</v>
      </c>
      <c r="AA358" t="s">
        <v>5455</v>
      </c>
      <c r="AB358" t="s">
        <v>74</v>
      </c>
      <c r="AC358" t="s">
        <v>74</v>
      </c>
      <c r="AD358" t="s">
        <v>74</v>
      </c>
      <c r="AE358" t="s">
        <v>74</v>
      </c>
      <c r="AF358" t="s">
        <v>74</v>
      </c>
      <c r="AG358">
        <v>7</v>
      </c>
      <c r="AH358">
        <v>1</v>
      </c>
      <c r="AI358">
        <v>1</v>
      </c>
      <c r="AJ358">
        <v>0</v>
      </c>
      <c r="AK358">
        <v>0</v>
      </c>
      <c r="AL358" t="s">
        <v>250</v>
      </c>
      <c r="AM358" t="s">
        <v>251</v>
      </c>
      <c r="AN358" t="s">
        <v>252</v>
      </c>
      <c r="AO358" t="s">
        <v>2253</v>
      </c>
      <c r="AP358" t="s">
        <v>5376</v>
      </c>
      <c r="AQ358" t="s">
        <v>74</v>
      </c>
      <c r="AR358" t="s">
        <v>2254</v>
      </c>
      <c r="AS358" t="s">
        <v>2255</v>
      </c>
      <c r="AT358" t="s">
        <v>4604</v>
      </c>
      <c r="AU358">
        <v>2003</v>
      </c>
      <c r="AV358">
        <v>38</v>
      </c>
      <c r="AW358">
        <v>7</v>
      </c>
      <c r="AX358" t="s">
        <v>74</v>
      </c>
      <c r="AY358" t="s">
        <v>5377</v>
      </c>
      <c r="AZ358" t="s">
        <v>74</v>
      </c>
      <c r="BA358" t="s">
        <v>74</v>
      </c>
      <c r="BB358" t="s">
        <v>5456</v>
      </c>
      <c r="BC358" t="s">
        <v>5456</v>
      </c>
      <c r="BD358" t="s">
        <v>74</v>
      </c>
      <c r="BE358" t="s">
        <v>74</v>
      </c>
      <c r="BF358" t="s">
        <v>74</v>
      </c>
      <c r="BG358" t="s">
        <v>74</v>
      </c>
      <c r="BH358" t="s">
        <v>74</v>
      </c>
      <c r="BI358">
        <v>1</v>
      </c>
      <c r="BJ358" t="s">
        <v>176</v>
      </c>
      <c r="BK358" t="s">
        <v>94</v>
      </c>
      <c r="BL358" t="s">
        <v>176</v>
      </c>
      <c r="BM358" t="s">
        <v>5379</v>
      </c>
      <c r="BN358" t="s">
        <v>74</v>
      </c>
      <c r="BO358" t="s">
        <v>74</v>
      </c>
      <c r="BP358" t="s">
        <v>74</v>
      </c>
      <c r="BQ358" t="s">
        <v>74</v>
      </c>
      <c r="BR358" t="s">
        <v>97</v>
      </c>
      <c r="BS358" t="s">
        <v>5457</v>
      </c>
      <c r="BT358" t="str">
        <f>HYPERLINK("https%3A%2F%2Fwww.webofscience.com%2Fwos%2Fwoscc%2Ffull-record%2FWOS:000522623600164","View Full Record in Web of Science")</f>
        <v>View Full Record in Web of Science</v>
      </c>
    </row>
    <row r="359" spans="1:72" x14ac:dyDescent="0.15">
      <c r="A359" t="s">
        <v>72</v>
      </c>
      <c r="B359" t="s">
        <v>5458</v>
      </c>
      <c r="C359" t="s">
        <v>74</v>
      </c>
      <c r="D359" t="s">
        <v>74</v>
      </c>
      <c r="E359" t="s">
        <v>74</v>
      </c>
      <c r="F359" t="s">
        <v>5458</v>
      </c>
      <c r="G359" t="s">
        <v>74</v>
      </c>
      <c r="H359" t="s">
        <v>74</v>
      </c>
      <c r="I359" t="s">
        <v>5459</v>
      </c>
      <c r="J359" t="s">
        <v>5460</v>
      </c>
      <c r="K359" t="s">
        <v>74</v>
      </c>
      <c r="L359" t="s">
        <v>74</v>
      </c>
      <c r="M359" t="s">
        <v>77</v>
      </c>
      <c r="N359" t="s">
        <v>78</v>
      </c>
      <c r="O359" t="s">
        <v>74</v>
      </c>
      <c r="P359" t="s">
        <v>74</v>
      </c>
      <c r="Q359" t="s">
        <v>74</v>
      </c>
      <c r="R359" t="s">
        <v>74</v>
      </c>
      <c r="S359" t="s">
        <v>74</v>
      </c>
      <c r="T359" t="s">
        <v>74</v>
      </c>
      <c r="U359" t="s">
        <v>5461</v>
      </c>
      <c r="V359" t="s">
        <v>5462</v>
      </c>
      <c r="W359" t="s">
        <v>5463</v>
      </c>
      <c r="X359" t="s">
        <v>706</v>
      </c>
      <c r="Y359" t="s">
        <v>5464</v>
      </c>
      <c r="Z359" t="s">
        <v>74</v>
      </c>
      <c r="AA359" t="s">
        <v>74</v>
      </c>
      <c r="AB359" t="s">
        <v>1146</v>
      </c>
      <c r="AC359" t="s">
        <v>74</v>
      </c>
      <c r="AD359" t="s">
        <v>74</v>
      </c>
      <c r="AE359" t="s">
        <v>74</v>
      </c>
      <c r="AF359" t="s">
        <v>74</v>
      </c>
      <c r="AG359">
        <v>57</v>
      </c>
      <c r="AH359">
        <v>40</v>
      </c>
      <c r="AI359">
        <v>48</v>
      </c>
      <c r="AJ359">
        <v>0</v>
      </c>
      <c r="AK359">
        <v>11</v>
      </c>
      <c r="AL359" t="s">
        <v>342</v>
      </c>
      <c r="AM359" t="s">
        <v>229</v>
      </c>
      <c r="AN359" t="s">
        <v>343</v>
      </c>
      <c r="AO359" t="s">
        <v>5465</v>
      </c>
      <c r="AP359" t="s">
        <v>74</v>
      </c>
      <c r="AQ359" t="s">
        <v>74</v>
      </c>
      <c r="AR359" t="s">
        <v>5466</v>
      </c>
      <c r="AS359" t="s">
        <v>5467</v>
      </c>
      <c r="AT359" t="s">
        <v>4604</v>
      </c>
      <c r="AU359">
        <v>2003</v>
      </c>
      <c r="AV359">
        <v>46</v>
      </c>
      <c r="AW359">
        <v>1</v>
      </c>
      <c r="AX359" t="s">
        <v>74</v>
      </c>
      <c r="AY359" t="s">
        <v>74</v>
      </c>
      <c r="AZ359" t="s">
        <v>74</v>
      </c>
      <c r="BA359" t="s">
        <v>74</v>
      </c>
      <c r="BB359">
        <v>92</v>
      </c>
      <c r="BC359">
        <v>105</v>
      </c>
      <c r="BD359" t="s">
        <v>74</v>
      </c>
      <c r="BE359" t="s">
        <v>5468</v>
      </c>
      <c r="BF359" t="str">
        <f>HYPERLINK("http://dx.doi.org/10.1007/s00248-002-2039-3","http://dx.doi.org/10.1007/s00248-002-2039-3")</f>
        <v>http://dx.doi.org/10.1007/s00248-002-2039-3</v>
      </c>
      <c r="BG359" t="s">
        <v>74</v>
      </c>
      <c r="BH359" t="s">
        <v>74</v>
      </c>
      <c r="BI359">
        <v>14</v>
      </c>
      <c r="BJ359" t="s">
        <v>5469</v>
      </c>
      <c r="BK359" t="s">
        <v>94</v>
      </c>
      <c r="BL359" t="s">
        <v>5470</v>
      </c>
      <c r="BM359" t="s">
        <v>5471</v>
      </c>
      <c r="BN359">
        <v>12739078</v>
      </c>
      <c r="BO359" t="s">
        <v>74</v>
      </c>
      <c r="BP359" t="s">
        <v>74</v>
      </c>
      <c r="BQ359" t="s">
        <v>74</v>
      </c>
      <c r="BR359" t="s">
        <v>97</v>
      </c>
      <c r="BS359" t="s">
        <v>5472</v>
      </c>
      <c r="BT359" t="str">
        <f>HYPERLINK("https%3A%2F%2Fwww.webofscience.com%2Fwos%2Fwoscc%2Ffull-record%2FWOS:000184639000010","View Full Record in Web of Science")</f>
        <v>View Full Record in Web of Science</v>
      </c>
    </row>
    <row r="360" spans="1:72" x14ac:dyDescent="0.15">
      <c r="A360" t="s">
        <v>72</v>
      </c>
      <c r="B360" t="s">
        <v>5473</v>
      </c>
      <c r="C360" t="s">
        <v>74</v>
      </c>
      <c r="D360" t="s">
        <v>74</v>
      </c>
      <c r="E360" t="s">
        <v>74</v>
      </c>
      <c r="F360" t="s">
        <v>5473</v>
      </c>
      <c r="G360" t="s">
        <v>74</v>
      </c>
      <c r="H360" t="s">
        <v>74</v>
      </c>
      <c r="I360" t="s">
        <v>5474</v>
      </c>
      <c r="J360" t="s">
        <v>2330</v>
      </c>
      <c r="K360" t="s">
        <v>74</v>
      </c>
      <c r="L360" t="s">
        <v>74</v>
      </c>
      <c r="M360" t="s">
        <v>77</v>
      </c>
      <c r="N360" t="s">
        <v>78</v>
      </c>
      <c r="O360" t="s">
        <v>74</v>
      </c>
      <c r="P360" t="s">
        <v>74</v>
      </c>
      <c r="Q360" t="s">
        <v>74</v>
      </c>
      <c r="R360" t="s">
        <v>74</v>
      </c>
      <c r="S360" t="s">
        <v>74</v>
      </c>
      <c r="T360" t="s">
        <v>74</v>
      </c>
      <c r="U360" t="s">
        <v>5475</v>
      </c>
      <c r="V360" t="s">
        <v>5476</v>
      </c>
      <c r="W360" t="s">
        <v>5477</v>
      </c>
      <c r="X360" t="s">
        <v>5478</v>
      </c>
      <c r="Y360" t="s">
        <v>5479</v>
      </c>
      <c r="Z360" t="s">
        <v>5480</v>
      </c>
      <c r="AA360" t="s">
        <v>5481</v>
      </c>
      <c r="AB360" t="s">
        <v>5482</v>
      </c>
      <c r="AC360" t="s">
        <v>74</v>
      </c>
      <c r="AD360" t="s">
        <v>74</v>
      </c>
      <c r="AE360" t="s">
        <v>74</v>
      </c>
      <c r="AF360" t="s">
        <v>74</v>
      </c>
      <c r="AG360">
        <v>36</v>
      </c>
      <c r="AH360">
        <v>58</v>
      </c>
      <c r="AI360">
        <v>79</v>
      </c>
      <c r="AJ360">
        <v>1</v>
      </c>
      <c r="AK360">
        <v>15</v>
      </c>
      <c r="AL360" t="s">
        <v>2341</v>
      </c>
      <c r="AM360" t="s">
        <v>2342</v>
      </c>
      <c r="AN360" t="s">
        <v>2343</v>
      </c>
      <c r="AO360" t="s">
        <v>2344</v>
      </c>
      <c r="AP360" t="s">
        <v>74</v>
      </c>
      <c r="AQ360" t="s">
        <v>74</v>
      </c>
      <c r="AR360" t="s">
        <v>2345</v>
      </c>
      <c r="AS360" t="s">
        <v>2346</v>
      </c>
      <c r="AT360" t="s">
        <v>4604</v>
      </c>
      <c r="AU360">
        <v>2003</v>
      </c>
      <c r="AV360">
        <v>28</v>
      </c>
      <c r="AW360">
        <v>1</v>
      </c>
      <c r="AX360" t="s">
        <v>74</v>
      </c>
      <c r="AY360" t="s">
        <v>74</v>
      </c>
      <c r="AZ360" t="s">
        <v>74</v>
      </c>
      <c r="BA360" t="s">
        <v>74</v>
      </c>
      <c r="BB360">
        <v>87</v>
      </c>
      <c r="BC360">
        <v>98</v>
      </c>
      <c r="BD360" t="s">
        <v>74</v>
      </c>
      <c r="BE360" t="s">
        <v>5483</v>
      </c>
      <c r="BF360" t="str">
        <f>HYPERLINK("http://dx.doi.org/10.1016/S1055-7903(03)00029-0","http://dx.doi.org/10.1016/S1055-7903(03)00029-0")</f>
        <v>http://dx.doi.org/10.1016/S1055-7903(03)00029-0</v>
      </c>
      <c r="BG360" t="s">
        <v>74</v>
      </c>
      <c r="BH360" t="s">
        <v>74</v>
      </c>
      <c r="BI360">
        <v>12</v>
      </c>
      <c r="BJ360" t="s">
        <v>2348</v>
      </c>
      <c r="BK360" t="s">
        <v>94</v>
      </c>
      <c r="BL360" t="s">
        <v>2348</v>
      </c>
      <c r="BM360" t="s">
        <v>5484</v>
      </c>
      <c r="BN360">
        <v>12801473</v>
      </c>
      <c r="BO360" t="s">
        <v>1767</v>
      </c>
      <c r="BP360" t="s">
        <v>74</v>
      </c>
      <c r="BQ360" t="s">
        <v>74</v>
      </c>
      <c r="BR360" t="s">
        <v>97</v>
      </c>
      <c r="BS360" t="s">
        <v>5485</v>
      </c>
      <c r="BT360" t="str">
        <f>HYPERLINK("https%3A%2F%2Fwww.webofscience.com%2Fwos%2Fwoscc%2Ffull-record%2FWOS:000183618400007","View Full Record in Web of Science")</f>
        <v>View Full Record in Web of Science</v>
      </c>
    </row>
    <row r="361" spans="1:72" x14ac:dyDescent="0.15">
      <c r="A361" t="s">
        <v>72</v>
      </c>
      <c r="B361" t="s">
        <v>5486</v>
      </c>
      <c r="C361" t="s">
        <v>74</v>
      </c>
      <c r="D361" t="s">
        <v>74</v>
      </c>
      <c r="E361" t="s">
        <v>74</v>
      </c>
      <c r="F361" t="s">
        <v>5486</v>
      </c>
      <c r="G361" t="s">
        <v>74</v>
      </c>
      <c r="H361" t="s">
        <v>74</v>
      </c>
      <c r="I361" t="s">
        <v>5487</v>
      </c>
      <c r="J361" t="s">
        <v>5488</v>
      </c>
      <c r="K361" t="s">
        <v>74</v>
      </c>
      <c r="L361" t="s">
        <v>74</v>
      </c>
      <c r="M361" t="s">
        <v>5489</v>
      </c>
      <c r="N361" t="s">
        <v>78</v>
      </c>
      <c r="O361" t="s">
        <v>74</v>
      </c>
      <c r="P361" t="s">
        <v>74</v>
      </c>
      <c r="Q361" t="s">
        <v>74</v>
      </c>
      <c r="R361" t="s">
        <v>74</v>
      </c>
      <c r="S361" t="s">
        <v>74</v>
      </c>
      <c r="T361" t="s">
        <v>74</v>
      </c>
      <c r="U361" t="s">
        <v>5490</v>
      </c>
      <c r="V361" t="s">
        <v>5491</v>
      </c>
      <c r="W361" t="s">
        <v>5492</v>
      </c>
      <c r="X361" t="s">
        <v>5493</v>
      </c>
      <c r="Y361" t="s">
        <v>5494</v>
      </c>
      <c r="Z361" t="s">
        <v>74</v>
      </c>
      <c r="AA361" t="s">
        <v>5495</v>
      </c>
      <c r="AB361" t="s">
        <v>74</v>
      </c>
      <c r="AC361" t="s">
        <v>74</v>
      </c>
      <c r="AD361" t="s">
        <v>74</v>
      </c>
      <c r="AE361" t="s">
        <v>74</v>
      </c>
      <c r="AF361" t="s">
        <v>74</v>
      </c>
      <c r="AG361">
        <v>23</v>
      </c>
      <c r="AH361">
        <v>3</v>
      </c>
      <c r="AI361">
        <v>3</v>
      </c>
      <c r="AJ361">
        <v>0</v>
      </c>
      <c r="AK361">
        <v>2</v>
      </c>
      <c r="AL361" t="s">
        <v>5496</v>
      </c>
      <c r="AM361" t="s">
        <v>520</v>
      </c>
      <c r="AN361" t="s">
        <v>5497</v>
      </c>
      <c r="AO361" t="s">
        <v>5498</v>
      </c>
      <c r="AP361" t="s">
        <v>74</v>
      </c>
      <c r="AQ361" t="s">
        <v>74</v>
      </c>
      <c r="AR361" t="s">
        <v>5499</v>
      </c>
      <c r="AS361" t="s">
        <v>5500</v>
      </c>
      <c r="AT361" t="s">
        <v>4604</v>
      </c>
      <c r="AU361">
        <v>2003</v>
      </c>
      <c r="AV361">
        <v>69</v>
      </c>
      <c r="AW361">
        <v>4</v>
      </c>
      <c r="AX361" t="s">
        <v>74</v>
      </c>
      <c r="AY361" t="s">
        <v>74</v>
      </c>
      <c r="AZ361" t="s">
        <v>74</v>
      </c>
      <c r="BA361" t="s">
        <v>74</v>
      </c>
      <c r="BB361">
        <v>575</v>
      </c>
      <c r="BC361">
        <v>583</v>
      </c>
      <c r="BD361" t="s">
        <v>74</v>
      </c>
      <c r="BE361" t="s">
        <v>74</v>
      </c>
      <c r="BF361" t="s">
        <v>74</v>
      </c>
      <c r="BG361" t="s">
        <v>74</v>
      </c>
      <c r="BH361" t="s">
        <v>74</v>
      </c>
      <c r="BI361">
        <v>9</v>
      </c>
      <c r="BJ361" t="s">
        <v>3502</v>
      </c>
      <c r="BK361" t="s">
        <v>94</v>
      </c>
      <c r="BL361" t="s">
        <v>3502</v>
      </c>
      <c r="BM361" t="s">
        <v>5501</v>
      </c>
      <c r="BN361" t="s">
        <v>74</v>
      </c>
      <c r="BO361" t="s">
        <v>74</v>
      </c>
      <c r="BP361" t="s">
        <v>74</v>
      </c>
      <c r="BQ361" t="s">
        <v>74</v>
      </c>
      <c r="BR361" t="s">
        <v>97</v>
      </c>
      <c r="BS361" t="s">
        <v>5502</v>
      </c>
      <c r="BT361" t="str">
        <f>HYPERLINK("https%3A%2F%2Fwww.webofscience.com%2Fwos%2Fwoscc%2Ffull-record%2FWOS:000185161200007","View Full Record in Web of Science")</f>
        <v>View Full Record in Web of Science</v>
      </c>
    </row>
    <row r="362" spans="1:72" x14ac:dyDescent="0.15">
      <c r="A362" t="s">
        <v>72</v>
      </c>
      <c r="B362" t="s">
        <v>5503</v>
      </c>
      <c r="C362" t="s">
        <v>74</v>
      </c>
      <c r="D362" t="s">
        <v>74</v>
      </c>
      <c r="E362" t="s">
        <v>74</v>
      </c>
      <c r="F362" t="s">
        <v>5503</v>
      </c>
      <c r="G362" t="s">
        <v>74</v>
      </c>
      <c r="H362" t="s">
        <v>74</v>
      </c>
      <c r="I362" t="s">
        <v>5504</v>
      </c>
      <c r="J362" t="s">
        <v>5505</v>
      </c>
      <c r="K362" t="s">
        <v>74</v>
      </c>
      <c r="L362" t="s">
        <v>74</v>
      </c>
      <c r="M362" t="s">
        <v>77</v>
      </c>
      <c r="N362" t="s">
        <v>78</v>
      </c>
      <c r="O362" t="s">
        <v>74</v>
      </c>
      <c r="P362" t="s">
        <v>74</v>
      </c>
      <c r="Q362" t="s">
        <v>74</v>
      </c>
      <c r="R362" t="s">
        <v>74</v>
      </c>
      <c r="S362" t="s">
        <v>74</v>
      </c>
      <c r="T362" t="s">
        <v>74</v>
      </c>
      <c r="U362" t="s">
        <v>5506</v>
      </c>
      <c r="V362" t="s">
        <v>5507</v>
      </c>
      <c r="W362" t="s">
        <v>5508</v>
      </c>
      <c r="X362" t="s">
        <v>5509</v>
      </c>
      <c r="Y362" t="s">
        <v>5510</v>
      </c>
      <c r="Z362" t="s">
        <v>74</v>
      </c>
      <c r="AA362" t="s">
        <v>5511</v>
      </c>
      <c r="AB362" t="s">
        <v>5512</v>
      </c>
      <c r="AC362" t="s">
        <v>74</v>
      </c>
      <c r="AD362" t="s">
        <v>74</v>
      </c>
      <c r="AE362" t="s">
        <v>74</v>
      </c>
      <c r="AF362" t="s">
        <v>74</v>
      </c>
      <c r="AG362">
        <v>56</v>
      </c>
      <c r="AH362">
        <v>50</v>
      </c>
      <c r="AI362">
        <v>56</v>
      </c>
      <c r="AJ362">
        <v>1</v>
      </c>
      <c r="AK362">
        <v>22</v>
      </c>
      <c r="AL362" t="s">
        <v>5513</v>
      </c>
      <c r="AM362" t="s">
        <v>5514</v>
      </c>
      <c r="AN362" t="s">
        <v>5515</v>
      </c>
      <c r="AO362" t="s">
        <v>5516</v>
      </c>
      <c r="AP362" t="s">
        <v>74</v>
      </c>
      <c r="AQ362" t="s">
        <v>74</v>
      </c>
      <c r="AR362" t="s">
        <v>5505</v>
      </c>
      <c r="AS362" t="s">
        <v>5517</v>
      </c>
      <c r="AT362" t="s">
        <v>4604</v>
      </c>
      <c r="AU362">
        <v>2003</v>
      </c>
      <c r="AV362">
        <v>102</v>
      </c>
      <c r="AW362">
        <v>1</v>
      </c>
      <c r="AX362" t="s">
        <v>74</v>
      </c>
      <c r="AY362" t="s">
        <v>74</v>
      </c>
      <c r="AZ362" t="s">
        <v>74</v>
      </c>
      <c r="BA362" t="s">
        <v>74</v>
      </c>
      <c r="BB362">
        <v>137</v>
      </c>
      <c r="BC362">
        <v>145</v>
      </c>
      <c r="BD362" t="s">
        <v>74</v>
      </c>
      <c r="BE362" t="s">
        <v>5518</v>
      </c>
      <c r="BF362" t="str">
        <f>HYPERLINK("http://dx.doi.org/10.1034/j.1600-0706.2003.12226.x","http://dx.doi.org/10.1034/j.1600-0706.2003.12226.x")</f>
        <v>http://dx.doi.org/10.1034/j.1600-0706.2003.12226.x</v>
      </c>
      <c r="BG362" t="s">
        <v>74</v>
      </c>
      <c r="BH362" t="s">
        <v>74</v>
      </c>
      <c r="BI362">
        <v>9</v>
      </c>
      <c r="BJ362" t="s">
        <v>3535</v>
      </c>
      <c r="BK362" t="s">
        <v>94</v>
      </c>
      <c r="BL362" t="s">
        <v>2512</v>
      </c>
      <c r="BM362" t="s">
        <v>5519</v>
      </c>
      <c r="BN362" t="s">
        <v>74</v>
      </c>
      <c r="BO362" t="s">
        <v>96</v>
      </c>
      <c r="BP362" t="s">
        <v>74</v>
      </c>
      <c r="BQ362" t="s">
        <v>74</v>
      </c>
      <c r="BR362" t="s">
        <v>97</v>
      </c>
      <c r="BS362" t="s">
        <v>5520</v>
      </c>
      <c r="BT362" t="str">
        <f>HYPERLINK("https%3A%2F%2Fwww.webofscience.com%2Fwos%2Fwoscc%2Ffull-record%2FWOS:000183694000014","View Full Record in Web of Science")</f>
        <v>View Full Record in Web of Science</v>
      </c>
    </row>
    <row r="363" spans="1:72" x14ac:dyDescent="0.15">
      <c r="A363" t="s">
        <v>72</v>
      </c>
      <c r="B363" t="s">
        <v>5521</v>
      </c>
      <c r="C363" t="s">
        <v>74</v>
      </c>
      <c r="D363" t="s">
        <v>74</v>
      </c>
      <c r="E363" t="s">
        <v>74</v>
      </c>
      <c r="F363" t="s">
        <v>5521</v>
      </c>
      <c r="G363" t="s">
        <v>74</v>
      </c>
      <c r="H363" t="s">
        <v>74</v>
      </c>
      <c r="I363" t="s">
        <v>5522</v>
      </c>
      <c r="J363" t="s">
        <v>5523</v>
      </c>
      <c r="K363" t="s">
        <v>74</v>
      </c>
      <c r="L363" t="s">
        <v>74</v>
      </c>
      <c r="M363" t="s">
        <v>77</v>
      </c>
      <c r="N363" t="s">
        <v>78</v>
      </c>
      <c r="O363" t="s">
        <v>74</v>
      </c>
      <c r="P363" t="s">
        <v>74</v>
      </c>
      <c r="Q363" t="s">
        <v>74</v>
      </c>
      <c r="R363" t="s">
        <v>74</v>
      </c>
      <c r="S363" t="s">
        <v>74</v>
      </c>
      <c r="T363" t="s">
        <v>74</v>
      </c>
      <c r="U363" t="s">
        <v>5524</v>
      </c>
      <c r="V363" t="s">
        <v>5525</v>
      </c>
      <c r="W363" t="s">
        <v>5526</v>
      </c>
      <c r="X363" t="s">
        <v>5527</v>
      </c>
      <c r="Y363" t="s">
        <v>5528</v>
      </c>
      <c r="Z363" t="s">
        <v>5529</v>
      </c>
      <c r="AA363" t="s">
        <v>5530</v>
      </c>
      <c r="AB363" t="s">
        <v>5531</v>
      </c>
      <c r="AC363" t="s">
        <v>74</v>
      </c>
      <c r="AD363" t="s">
        <v>74</v>
      </c>
      <c r="AE363" t="s">
        <v>74</v>
      </c>
      <c r="AF363" t="s">
        <v>74</v>
      </c>
      <c r="AG363">
        <v>50</v>
      </c>
      <c r="AH363">
        <v>13</v>
      </c>
      <c r="AI363">
        <v>14</v>
      </c>
      <c r="AJ363">
        <v>1</v>
      </c>
      <c r="AK363">
        <v>9</v>
      </c>
      <c r="AL363" t="s">
        <v>5532</v>
      </c>
      <c r="AM363" t="s">
        <v>5533</v>
      </c>
      <c r="AN363" t="s">
        <v>5534</v>
      </c>
      <c r="AO363" t="s">
        <v>5535</v>
      </c>
      <c r="AP363" t="s">
        <v>5536</v>
      </c>
      <c r="AQ363" t="s">
        <v>74</v>
      </c>
      <c r="AR363" t="s">
        <v>5537</v>
      </c>
      <c r="AS363" t="s">
        <v>5538</v>
      </c>
      <c r="AT363" t="s">
        <v>4714</v>
      </c>
      <c r="AU363">
        <v>2003</v>
      </c>
      <c r="AV363">
        <v>58</v>
      </c>
      <c r="AW363">
        <v>4</v>
      </c>
      <c r="AX363" t="s">
        <v>74</v>
      </c>
      <c r="AY363" t="s">
        <v>74</v>
      </c>
      <c r="AZ363" t="s">
        <v>74</v>
      </c>
      <c r="BA363" t="s">
        <v>74</v>
      </c>
      <c r="BB363">
        <v>469</v>
      </c>
      <c r="BC363">
        <v>479</v>
      </c>
      <c r="BD363" t="s">
        <v>74</v>
      </c>
      <c r="BE363" t="s">
        <v>5539</v>
      </c>
      <c r="BF363" t="str">
        <f>HYPERLINK("http://dx.doi.org/10.2516/ogst:2003030","http://dx.doi.org/10.2516/ogst:2003030")</f>
        <v>http://dx.doi.org/10.2516/ogst:2003030</v>
      </c>
      <c r="BG363" t="s">
        <v>74</v>
      </c>
      <c r="BH363" t="s">
        <v>74</v>
      </c>
      <c r="BI363">
        <v>11</v>
      </c>
      <c r="BJ363" t="s">
        <v>5540</v>
      </c>
      <c r="BK363" t="s">
        <v>94</v>
      </c>
      <c r="BL363" t="s">
        <v>4889</v>
      </c>
      <c r="BM363" t="s">
        <v>5541</v>
      </c>
      <c r="BN363" t="s">
        <v>74</v>
      </c>
      <c r="BO363" t="s">
        <v>5542</v>
      </c>
      <c r="BP363" t="s">
        <v>74</v>
      </c>
      <c r="BQ363" t="s">
        <v>74</v>
      </c>
      <c r="BR363" t="s">
        <v>97</v>
      </c>
      <c r="BS363" t="s">
        <v>5543</v>
      </c>
      <c r="BT363" t="str">
        <f>HYPERLINK("https%3A%2F%2Fwww.webofscience.com%2Fwos%2Fwoscc%2Ffull-record%2FWOS:000185052900006","View Full Record in Web of Science")</f>
        <v>View Full Record in Web of Science</v>
      </c>
    </row>
    <row r="364" spans="1:72" x14ac:dyDescent="0.15">
      <c r="A364" t="s">
        <v>72</v>
      </c>
      <c r="B364" t="s">
        <v>5544</v>
      </c>
      <c r="C364" t="s">
        <v>74</v>
      </c>
      <c r="D364" t="s">
        <v>74</v>
      </c>
      <c r="E364" t="s">
        <v>74</v>
      </c>
      <c r="F364" t="s">
        <v>5544</v>
      </c>
      <c r="G364" t="s">
        <v>74</v>
      </c>
      <c r="H364" t="s">
        <v>74</v>
      </c>
      <c r="I364" t="s">
        <v>5545</v>
      </c>
      <c r="J364" t="s">
        <v>5546</v>
      </c>
      <c r="K364" t="s">
        <v>74</v>
      </c>
      <c r="L364" t="s">
        <v>74</v>
      </c>
      <c r="M364" t="s">
        <v>77</v>
      </c>
      <c r="N364" t="s">
        <v>78</v>
      </c>
      <c r="O364" t="s">
        <v>74</v>
      </c>
      <c r="P364" t="s">
        <v>74</v>
      </c>
      <c r="Q364" t="s">
        <v>74</v>
      </c>
      <c r="R364" t="s">
        <v>74</v>
      </c>
      <c r="S364" t="s">
        <v>74</v>
      </c>
      <c r="T364" t="s">
        <v>74</v>
      </c>
      <c r="U364" t="s">
        <v>5547</v>
      </c>
      <c r="V364" t="s">
        <v>5548</v>
      </c>
      <c r="W364" t="s">
        <v>5549</v>
      </c>
      <c r="X364" t="s">
        <v>5550</v>
      </c>
      <c r="Y364" t="s">
        <v>5551</v>
      </c>
      <c r="Z364" t="s">
        <v>74</v>
      </c>
      <c r="AA364" t="s">
        <v>5552</v>
      </c>
      <c r="AB364" t="s">
        <v>5553</v>
      </c>
      <c r="AC364" t="s">
        <v>74</v>
      </c>
      <c r="AD364" t="s">
        <v>74</v>
      </c>
      <c r="AE364" t="s">
        <v>74</v>
      </c>
      <c r="AF364" t="s">
        <v>74</v>
      </c>
      <c r="AG364">
        <v>27</v>
      </c>
      <c r="AH364">
        <v>30</v>
      </c>
      <c r="AI364">
        <v>31</v>
      </c>
      <c r="AJ364">
        <v>0</v>
      </c>
      <c r="AK364">
        <v>2</v>
      </c>
      <c r="AL364" t="s">
        <v>5554</v>
      </c>
      <c r="AM364" t="s">
        <v>5555</v>
      </c>
      <c r="AN364" t="s">
        <v>5556</v>
      </c>
      <c r="AO364" t="s">
        <v>5557</v>
      </c>
      <c r="AP364" t="s">
        <v>74</v>
      </c>
      <c r="AQ364" t="s">
        <v>74</v>
      </c>
      <c r="AR364" t="s">
        <v>5558</v>
      </c>
      <c r="AS364" t="s">
        <v>5559</v>
      </c>
      <c r="AT364" t="s">
        <v>4604</v>
      </c>
      <c r="AU364">
        <v>2003</v>
      </c>
      <c r="AV364">
        <v>78</v>
      </c>
      <c r="AW364">
        <v>1</v>
      </c>
      <c r="AX364" t="s">
        <v>74</v>
      </c>
      <c r="AY364" t="s">
        <v>74</v>
      </c>
      <c r="AZ364" t="s">
        <v>74</v>
      </c>
      <c r="BA364" t="s">
        <v>74</v>
      </c>
      <c r="BB364">
        <v>49</v>
      </c>
      <c r="BC364">
        <v>54</v>
      </c>
      <c r="BD364" t="s">
        <v>74</v>
      </c>
      <c r="BE364" t="s">
        <v>5560</v>
      </c>
      <c r="BF364" t="str">
        <f>HYPERLINK("http://dx.doi.org/10.1562/0031-8655(2003)078&lt;0049:AOOTUI&gt;2.0.CO;2","http://dx.doi.org/10.1562/0031-8655(2003)078&lt;0049:AOOTUI&gt;2.0.CO;2")</f>
        <v>http://dx.doi.org/10.1562/0031-8655(2003)078&lt;0049:AOOTUI&gt;2.0.CO;2</v>
      </c>
      <c r="BG364" t="s">
        <v>74</v>
      </c>
      <c r="BH364" t="s">
        <v>74</v>
      </c>
      <c r="BI364">
        <v>6</v>
      </c>
      <c r="BJ364" t="s">
        <v>5237</v>
      </c>
      <c r="BK364" t="s">
        <v>94</v>
      </c>
      <c r="BL364" t="s">
        <v>5237</v>
      </c>
      <c r="BM364" t="s">
        <v>5561</v>
      </c>
      <c r="BN364">
        <v>12929748</v>
      </c>
      <c r="BO364" t="s">
        <v>74</v>
      </c>
      <c r="BP364" t="s">
        <v>74</v>
      </c>
      <c r="BQ364" t="s">
        <v>74</v>
      </c>
      <c r="BR364" t="s">
        <v>97</v>
      </c>
      <c r="BS364" t="s">
        <v>5562</v>
      </c>
      <c r="BT364" t="str">
        <f>HYPERLINK("https%3A%2F%2Fwww.webofscience.com%2Fwos%2Fwoscc%2Ffull-record%2FWOS:000184166100008","View Full Record in Web of Science")</f>
        <v>View Full Record in Web of Science</v>
      </c>
    </row>
    <row r="365" spans="1:72" x14ac:dyDescent="0.15">
      <c r="A365" t="s">
        <v>72</v>
      </c>
      <c r="B365" t="s">
        <v>5563</v>
      </c>
      <c r="C365" t="s">
        <v>74</v>
      </c>
      <c r="D365" t="s">
        <v>74</v>
      </c>
      <c r="E365" t="s">
        <v>74</v>
      </c>
      <c r="F365" t="s">
        <v>5563</v>
      </c>
      <c r="G365" t="s">
        <v>74</v>
      </c>
      <c r="H365" t="s">
        <v>74</v>
      </c>
      <c r="I365" t="s">
        <v>5564</v>
      </c>
      <c r="J365" t="s">
        <v>316</v>
      </c>
      <c r="K365" t="s">
        <v>74</v>
      </c>
      <c r="L365" t="s">
        <v>74</v>
      </c>
      <c r="M365" t="s">
        <v>77</v>
      </c>
      <c r="N365" t="s">
        <v>78</v>
      </c>
      <c r="O365" t="s">
        <v>74</v>
      </c>
      <c r="P365" t="s">
        <v>74</v>
      </c>
      <c r="Q365" t="s">
        <v>74</v>
      </c>
      <c r="R365" t="s">
        <v>74</v>
      </c>
      <c r="S365" t="s">
        <v>74</v>
      </c>
      <c r="T365" t="s">
        <v>74</v>
      </c>
      <c r="U365" t="s">
        <v>5565</v>
      </c>
      <c r="V365" t="s">
        <v>5566</v>
      </c>
      <c r="W365" t="s">
        <v>5567</v>
      </c>
      <c r="X365" t="s">
        <v>5568</v>
      </c>
      <c r="Y365" t="s">
        <v>5569</v>
      </c>
      <c r="Z365" t="s">
        <v>74</v>
      </c>
      <c r="AA365" t="s">
        <v>5570</v>
      </c>
      <c r="AB365" t="s">
        <v>5571</v>
      </c>
      <c r="AC365" t="s">
        <v>74</v>
      </c>
      <c r="AD365" t="s">
        <v>74</v>
      </c>
      <c r="AE365" t="s">
        <v>74</v>
      </c>
      <c r="AF365" t="s">
        <v>74</v>
      </c>
      <c r="AG365">
        <v>29</v>
      </c>
      <c r="AH365">
        <v>23</v>
      </c>
      <c r="AI365">
        <v>23</v>
      </c>
      <c r="AJ365">
        <v>0</v>
      </c>
      <c r="AK365">
        <v>8</v>
      </c>
      <c r="AL365" t="s">
        <v>342</v>
      </c>
      <c r="AM365" t="s">
        <v>229</v>
      </c>
      <c r="AN365" t="s">
        <v>343</v>
      </c>
      <c r="AO365" t="s">
        <v>324</v>
      </c>
      <c r="AP365" t="s">
        <v>74</v>
      </c>
      <c r="AQ365" t="s">
        <v>74</v>
      </c>
      <c r="AR365" t="s">
        <v>326</v>
      </c>
      <c r="AS365" t="s">
        <v>327</v>
      </c>
      <c r="AT365" t="s">
        <v>4604</v>
      </c>
      <c r="AU365">
        <v>2003</v>
      </c>
      <c r="AV365">
        <v>26</v>
      </c>
      <c r="AW365">
        <v>7</v>
      </c>
      <c r="AX365" t="s">
        <v>74</v>
      </c>
      <c r="AY365" t="s">
        <v>74</v>
      </c>
      <c r="AZ365" t="s">
        <v>74</v>
      </c>
      <c r="BA365" t="s">
        <v>74</v>
      </c>
      <c r="BB365">
        <v>427</v>
      </c>
      <c r="BC365">
        <v>431</v>
      </c>
      <c r="BD365" t="s">
        <v>74</v>
      </c>
      <c r="BE365" t="s">
        <v>5572</v>
      </c>
      <c r="BF365" t="str">
        <f>HYPERLINK("http://dx.doi.org/10.1007/s00300-003-0494-z","http://dx.doi.org/10.1007/s00300-003-0494-z")</f>
        <v>http://dx.doi.org/10.1007/s00300-003-0494-z</v>
      </c>
      <c r="BG365" t="s">
        <v>74</v>
      </c>
      <c r="BH365" t="s">
        <v>74</v>
      </c>
      <c r="BI365">
        <v>5</v>
      </c>
      <c r="BJ365" t="s">
        <v>329</v>
      </c>
      <c r="BK365" t="s">
        <v>94</v>
      </c>
      <c r="BL365" t="s">
        <v>330</v>
      </c>
      <c r="BM365" t="s">
        <v>5573</v>
      </c>
      <c r="BN365" t="s">
        <v>74</v>
      </c>
      <c r="BO365" t="s">
        <v>74</v>
      </c>
      <c r="BP365" t="s">
        <v>74</v>
      </c>
      <c r="BQ365" t="s">
        <v>74</v>
      </c>
      <c r="BR365" t="s">
        <v>97</v>
      </c>
      <c r="BS365" t="s">
        <v>5574</v>
      </c>
      <c r="BT365" t="str">
        <f>HYPERLINK("https%3A%2F%2Fwww.webofscience.com%2Fwos%2Fwoscc%2Ffull-record%2FWOS:000184270900001","View Full Record in Web of Science")</f>
        <v>View Full Record in Web of Science</v>
      </c>
    </row>
    <row r="366" spans="1:72" x14ac:dyDescent="0.15">
      <c r="A366" t="s">
        <v>72</v>
      </c>
      <c r="B366" t="s">
        <v>5575</v>
      </c>
      <c r="C366" t="s">
        <v>74</v>
      </c>
      <c r="D366" t="s">
        <v>74</v>
      </c>
      <c r="E366" t="s">
        <v>74</v>
      </c>
      <c r="F366" t="s">
        <v>5575</v>
      </c>
      <c r="G366" t="s">
        <v>74</v>
      </c>
      <c r="H366" t="s">
        <v>74</v>
      </c>
      <c r="I366" t="s">
        <v>5576</v>
      </c>
      <c r="J366" t="s">
        <v>316</v>
      </c>
      <c r="K366" t="s">
        <v>74</v>
      </c>
      <c r="L366" t="s">
        <v>74</v>
      </c>
      <c r="M366" t="s">
        <v>77</v>
      </c>
      <c r="N366" t="s">
        <v>78</v>
      </c>
      <c r="O366" t="s">
        <v>74</v>
      </c>
      <c r="P366" t="s">
        <v>74</v>
      </c>
      <c r="Q366" t="s">
        <v>74</v>
      </c>
      <c r="R366" t="s">
        <v>74</v>
      </c>
      <c r="S366" t="s">
        <v>74</v>
      </c>
      <c r="T366" t="s">
        <v>74</v>
      </c>
      <c r="U366" t="s">
        <v>5577</v>
      </c>
      <c r="V366" t="s">
        <v>5578</v>
      </c>
      <c r="W366" t="s">
        <v>5579</v>
      </c>
      <c r="X366" t="s">
        <v>5580</v>
      </c>
      <c r="Y366" t="s">
        <v>5581</v>
      </c>
      <c r="Z366" t="s">
        <v>74</v>
      </c>
      <c r="AA366" t="s">
        <v>5582</v>
      </c>
      <c r="AB366" t="s">
        <v>5583</v>
      </c>
      <c r="AC366" t="s">
        <v>74</v>
      </c>
      <c r="AD366" t="s">
        <v>74</v>
      </c>
      <c r="AE366" t="s">
        <v>74</v>
      </c>
      <c r="AF366" t="s">
        <v>74</v>
      </c>
      <c r="AG366">
        <v>41</v>
      </c>
      <c r="AH366">
        <v>24</v>
      </c>
      <c r="AI366">
        <v>28</v>
      </c>
      <c r="AJ366">
        <v>0</v>
      </c>
      <c r="AK366">
        <v>19</v>
      </c>
      <c r="AL366" t="s">
        <v>342</v>
      </c>
      <c r="AM366" t="s">
        <v>229</v>
      </c>
      <c r="AN366" t="s">
        <v>343</v>
      </c>
      <c r="AO366" t="s">
        <v>324</v>
      </c>
      <c r="AP366" t="s">
        <v>74</v>
      </c>
      <c r="AQ366" t="s">
        <v>74</v>
      </c>
      <c r="AR366" t="s">
        <v>326</v>
      </c>
      <c r="AS366" t="s">
        <v>327</v>
      </c>
      <c r="AT366" t="s">
        <v>4604</v>
      </c>
      <c r="AU366">
        <v>2003</v>
      </c>
      <c r="AV366">
        <v>26</v>
      </c>
      <c r="AW366">
        <v>7</v>
      </c>
      <c r="AX366" t="s">
        <v>74</v>
      </c>
      <c r="AY366" t="s">
        <v>74</v>
      </c>
      <c r="AZ366" t="s">
        <v>74</v>
      </c>
      <c r="BA366" t="s">
        <v>74</v>
      </c>
      <c r="BB366">
        <v>432</v>
      </c>
      <c r="BC366">
        <v>437</v>
      </c>
      <c r="BD366" t="s">
        <v>74</v>
      </c>
      <c r="BE366" t="s">
        <v>5584</v>
      </c>
      <c r="BF366" t="str">
        <f>HYPERLINK("http://dx.doi.org/10.1007/s00300-003-0500-5","http://dx.doi.org/10.1007/s00300-003-0500-5")</f>
        <v>http://dx.doi.org/10.1007/s00300-003-0500-5</v>
      </c>
      <c r="BG366" t="s">
        <v>74</v>
      </c>
      <c r="BH366" t="s">
        <v>74</v>
      </c>
      <c r="BI366">
        <v>6</v>
      </c>
      <c r="BJ366" t="s">
        <v>329</v>
      </c>
      <c r="BK366" t="s">
        <v>94</v>
      </c>
      <c r="BL366" t="s">
        <v>330</v>
      </c>
      <c r="BM366" t="s">
        <v>5573</v>
      </c>
      <c r="BN366" t="s">
        <v>74</v>
      </c>
      <c r="BO366" t="s">
        <v>74</v>
      </c>
      <c r="BP366" t="s">
        <v>74</v>
      </c>
      <c r="BQ366" t="s">
        <v>74</v>
      </c>
      <c r="BR366" t="s">
        <v>97</v>
      </c>
      <c r="BS366" t="s">
        <v>5585</v>
      </c>
      <c r="BT366" t="str">
        <f>HYPERLINK("https%3A%2F%2Fwww.webofscience.com%2Fwos%2Fwoscc%2Ffull-record%2FWOS:000184270900002","View Full Record in Web of Science")</f>
        <v>View Full Record in Web of Science</v>
      </c>
    </row>
    <row r="367" spans="1:72" x14ac:dyDescent="0.15">
      <c r="A367" t="s">
        <v>72</v>
      </c>
      <c r="B367" t="s">
        <v>5586</v>
      </c>
      <c r="C367" t="s">
        <v>74</v>
      </c>
      <c r="D367" t="s">
        <v>74</v>
      </c>
      <c r="E367" t="s">
        <v>74</v>
      </c>
      <c r="F367" t="s">
        <v>5586</v>
      </c>
      <c r="G367" t="s">
        <v>74</v>
      </c>
      <c r="H367" t="s">
        <v>74</v>
      </c>
      <c r="I367" t="s">
        <v>5587</v>
      </c>
      <c r="J367" t="s">
        <v>316</v>
      </c>
      <c r="K367" t="s">
        <v>74</v>
      </c>
      <c r="L367" t="s">
        <v>74</v>
      </c>
      <c r="M367" t="s">
        <v>77</v>
      </c>
      <c r="N367" t="s">
        <v>78</v>
      </c>
      <c r="O367" t="s">
        <v>74</v>
      </c>
      <c r="P367" t="s">
        <v>74</v>
      </c>
      <c r="Q367" t="s">
        <v>74</v>
      </c>
      <c r="R367" t="s">
        <v>74</v>
      </c>
      <c r="S367" t="s">
        <v>74</v>
      </c>
      <c r="T367" t="s">
        <v>74</v>
      </c>
      <c r="U367" t="s">
        <v>5588</v>
      </c>
      <c r="V367" t="s">
        <v>5589</v>
      </c>
      <c r="W367" t="s">
        <v>5590</v>
      </c>
      <c r="X367" t="s">
        <v>5591</v>
      </c>
      <c r="Y367" t="s">
        <v>5592</v>
      </c>
      <c r="Z367" t="s">
        <v>74</v>
      </c>
      <c r="AA367" t="s">
        <v>74</v>
      </c>
      <c r="AB367" t="s">
        <v>74</v>
      </c>
      <c r="AC367" t="s">
        <v>74</v>
      </c>
      <c r="AD367" t="s">
        <v>74</v>
      </c>
      <c r="AE367" t="s">
        <v>74</v>
      </c>
      <c r="AF367" t="s">
        <v>74</v>
      </c>
      <c r="AG367">
        <v>26</v>
      </c>
      <c r="AH367">
        <v>2</v>
      </c>
      <c r="AI367">
        <v>2</v>
      </c>
      <c r="AJ367">
        <v>0</v>
      </c>
      <c r="AK367">
        <v>2</v>
      </c>
      <c r="AL367" t="s">
        <v>342</v>
      </c>
      <c r="AM367" t="s">
        <v>229</v>
      </c>
      <c r="AN367" t="s">
        <v>343</v>
      </c>
      <c r="AO367" t="s">
        <v>324</v>
      </c>
      <c r="AP367" t="s">
        <v>74</v>
      </c>
      <c r="AQ367" t="s">
        <v>74</v>
      </c>
      <c r="AR367" t="s">
        <v>326</v>
      </c>
      <c r="AS367" t="s">
        <v>327</v>
      </c>
      <c r="AT367" t="s">
        <v>4604</v>
      </c>
      <c r="AU367">
        <v>2003</v>
      </c>
      <c r="AV367">
        <v>26</v>
      </c>
      <c r="AW367">
        <v>7</v>
      </c>
      <c r="AX367" t="s">
        <v>74</v>
      </c>
      <c r="AY367" t="s">
        <v>74</v>
      </c>
      <c r="AZ367" t="s">
        <v>74</v>
      </c>
      <c r="BA367" t="s">
        <v>74</v>
      </c>
      <c r="BB367">
        <v>452</v>
      </c>
      <c r="BC367">
        <v>457</v>
      </c>
      <c r="BD367" t="s">
        <v>74</v>
      </c>
      <c r="BE367" t="s">
        <v>5593</v>
      </c>
      <c r="BF367" t="str">
        <f>HYPERLINK("http://dx.doi.org/10.1007/s00300-003-0501-4","http://dx.doi.org/10.1007/s00300-003-0501-4")</f>
        <v>http://dx.doi.org/10.1007/s00300-003-0501-4</v>
      </c>
      <c r="BG367" t="s">
        <v>74</v>
      </c>
      <c r="BH367" t="s">
        <v>74</v>
      </c>
      <c r="BI367">
        <v>6</v>
      </c>
      <c r="BJ367" t="s">
        <v>329</v>
      </c>
      <c r="BK367" t="s">
        <v>94</v>
      </c>
      <c r="BL367" t="s">
        <v>330</v>
      </c>
      <c r="BM367" t="s">
        <v>5573</v>
      </c>
      <c r="BN367" t="s">
        <v>74</v>
      </c>
      <c r="BO367" t="s">
        <v>74</v>
      </c>
      <c r="BP367" t="s">
        <v>74</v>
      </c>
      <c r="BQ367" t="s">
        <v>74</v>
      </c>
      <c r="BR367" t="s">
        <v>97</v>
      </c>
      <c r="BS367" t="s">
        <v>5594</v>
      </c>
      <c r="BT367" t="str">
        <f>HYPERLINK("https%3A%2F%2Fwww.webofscience.com%2Fwos%2Fwoscc%2Ffull-record%2FWOS:000184270900004","View Full Record in Web of Science")</f>
        <v>View Full Record in Web of Science</v>
      </c>
    </row>
    <row r="368" spans="1:72" x14ac:dyDescent="0.15">
      <c r="A368" t="s">
        <v>72</v>
      </c>
      <c r="B368" t="s">
        <v>5595</v>
      </c>
      <c r="C368" t="s">
        <v>74</v>
      </c>
      <c r="D368" t="s">
        <v>74</v>
      </c>
      <c r="E368" t="s">
        <v>74</v>
      </c>
      <c r="F368" t="s">
        <v>5595</v>
      </c>
      <c r="G368" t="s">
        <v>74</v>
      </c>
      <c r="H368" t="s">
        <v>74</v>
      </c>
      <c r="I368" t="s">
        <v>5596</v>
      </c>
      <c r="J368" t="s">
        <v>316</v>
      </c>
      <c r="K368" t="s">
        <v>74</v>
      </c>
      <c r="L368" t="s">
        <v>74</v>
      </c>
      <c r="M368" t="s">
        <v>77</v>
      </c>
      <c r="N368" t="s">
        <v>78</v>
      </c>
      <c r="O368" t="s">
        <v>74</v>
      </c>
      <c r="P368" t="s">
        <v>74</v>
      </c>
      <c r="Q368" t="s">
        <v>74</v>
      </c>
      <c r="R368" t="s">
        <v>74</v>
      </c>
      <c r="S368" t="s">
        <v>74</v>
      </c>
      <c r="T368" t="s">
        <v>74</v>
      </c>
      <c r="U368" t="s">
        <v>5597</v>
      </c>
      <c r="V368" t="s">
        <v>5598</v>
      </c>
      <c r="W368" t="s">
        <v>5599</v>
      </c>
      <c r="X368" t="s">
        <v>5600</v>
      </c>
      <c r="Y368" t="s">
        <v>5601</v>
      </c>
      <c r="Z368" t="s">
        <v>74</v>
      </c>
      <c r="AA368" t="s">
        <v>5602</v>
      </c>
      <c r="AB368" t="s">
        <v>5603</v>
      </c>
      <c r="AC368" t="s">
        <v>74</v>
      </c>
      <c r="AD368" t="s">
        <v>74</v>
      </c>
      <c r="AE368" t="s">
        <v>74</v>
      </c>
      <c r="AF368" t="s">
        <v>74</v>
      </c>
      <c r="AG368">
        <v>26</v>
      </c>
      <c r="AH368">
        <v>12</v>
      </c>
      <c r="AI368">
        <v>14</v>
      </c>
      <c r="AJ368">
        <v>0</v>
      </c>
      <c r="AK368">
        <v>12</v>
      </c>
      <c r="AL368" t="s">
        <v>342</v>
      </c>
      <c r="AM368" t="s">
        <v>229</v>
      </c>
      <c r="AN368" t="s">
        <v>343</v>
      </c>
      <c r="AO368" t="s">
        <v>324</v>
      </c>
      <c r="AP368" t="s">
        <v>74</v>
      </c>
      <c r="AQ368" t="s">
        <v>74</v>
      </c>
      <c r="AR368" t="s">
        <v>326</v>
      </c>
      <c r="AS368" t="s">
        <v>327</v>
      </c>
      <c r="AT368" t="s">
        <v>4604</v>
      </c>
      <c r="AU368">
        <v>2003</v>
      </c>
      <c r="AV368">
        <v>26</v>
      </c>
      <c r="AW368">
        <v>7</v>
      </c>
      <c r="AX368" t="s">
        <v>74</v>
      </c>
      <c r="AY368" t="s">
        <v>74</v>
      </c>
      <c r="AZ368" t="s">
        <v>74</v>
      </c>
      <c r="BA368" t="s">
        <v>74</v>
      </c>
      <c r="BB368">
        <v>458</v>
      </c>
      <c r="BC368">
        <v>462</v>
      </c>
      <c r="BD368" t="s">
        <v>74</v>
      </c>
      <c r="BE368" t="s">
        <v>5604</v>
      </c>
      <c r="BF368" t="str">
        <f>HYPERLINK("http://dx.doi.org/10.1007/s00300-003-0504-1","http://dx.doi.org/10.1007/s00300-003-0504-1")</f>
        <v>http://dx.doi.org/10.1007/s00300-003-0504-1</v>
      </c>
      <c r="BG368" t="s">
        <v>74</v>
      </c>
      <c r="BH368" t="s">
        <v>74</v>
      </c>
      <c r="BI368">
        <v>5</v>
      </c>
      <c r="BJ368" t="s">
        <v>329</v>
      </c>
      <c r="BK368" t="s">
        <v>94</v>
      </c>
      <c r="BL368" t="s">
        <v>330</v>
      </c>
      <c r="BM368" t="s">
        <v>5573</v>
      </c>
      <c r="BN368" t="s">
        <v>74</v>
      </c>
      <c r="BO368" t="s">
        <v>74</v>
      </c>
      <c r="BP368" t="s">
        <v>74</v>
      </c>
      <c r="BQ368" t="s">
        <v>74</v>
      </c>
      <c r="BR368" t="s">
        <v>97</v>
      </c>
      <c r="BS368" t="s">
        <v>5605</v>
      </c>
      <c r="BT368" t="str">
        <f>HYPERLINK("https%3A%2F%2Fwww.webofscience.com%2Fwos%2Fwoscc%2Ffull-record%2FWOS:000184270900005","View Full Record in Web of Science")</f>
        <v>View Full Record in Web of Science</v>
      </c>
    </row>
    <row r="369" spans="1:72" x14ac:dyDescent="0.15">
      <c r="A369" t="s">
        <v>72</v>
      </c>
      <c r="B369" t="s">
        <v>5606</v>
      </c>
      <c r="C369" t="s">
        <v>74</v>
      </c>
      <c r="D369" t="s">
        <v>74</v>
      </c>
      <c r="E369" t="s">
        <v>74</v>
      </c>
      <c r="F369" t="s">
        <v>5606</v>
      </c>
      <c r="G369" t="s">
        <v>74</v>
      </c>
      <c r="H369" t="s">
        <v>74</v>
      </c>
      <c r="I369" t="s">
        <v>5607</v>
      </c>
      <c r="J369" t="s">
        <v>316</v>
      </c>
      <c r="K369" t="s">
        <v>74</v>
      </c>
      <c r="L369" t="s">
        <v>74</v>
      </c>
      <c r="M369" t="s">
        <v>77</v>
      </c>
      <c r="N369" t="s">
        <v>78</v>
      </c>
      <c r="O369" t="s">
        <v>74</v>
      </c>
      <c r="P369" t="s">
        <v>74</v>
      </c>
      <c r="Q369" t="s">
        <v>74</v>
      </c>
      <c r="R369" t="s">
        <v>74</v>
      </c>
      <c r="S369" t="s">
        <v>74</v>
      </c>
      <c r="T369" t="s">
        <v>74</v>
      </c>
      <c r="U369" t="s">
        <v>74</v>
      </c>
      <c r="V369" t="s">
        <v>5608</v>
      </c>
      <c r="W369" t="s">
        <v>5609</v>
      </c>
      <c r="X369" t="s">
        <v>5610</v>
      </c>
      <c r="Y369" t="s">
        <v>5611</v>
      </c>
      <c r="Z369" t="s">
        <v>74</v>
      </c>
      <c r="AA369" t="s">
        <v>74</v>
      </c>
      <c r="AB369" t="s">
        <v>5612</v>
      </c>
      <c r="AC369" t="s">
        <v>74</v>
      </c>
      <c r="AD369" t="s">
        <v>74</v>
      </c>
      <c r="AE369" t="s">
        <v>74</v>
      </c>
      <c r="AF369" t="s">
        <v>74</v>
      </c>
      <c r="AG369">
        <v>12</v>
      </c>
      <c r="AH369">
        <v>7</v>
      </c>
      <c r="AI369">
        <v>7</v>
      </c>
      <c r="AJ369">
        <v>0</v>
      </c>
      <c r="AK369">
        <v>3</v>
      </c>
      <c r="AL369" t="s">
        <v>342</v>
      </c>
      <c r="AM369" t="s">
        <v>229</v>
      </c>
      <c r="AN369" t="s">
        <v>343</v>
      </c>
      <c r="AO369" t="s">
        <v>324</v>
      </c>
      <c r="AP369" t="s">
        <v>74</v>
      </c>
      <c r="AQ369" t="s">
        <v>74</v>
      </c>
      <c r="AR369" t="s">
        <v>326</v>
      </c>
      <c r="AS369" t="s">
        <v>327</v>
      </c>
      <c r="AT369" t="s">
        <v>4604</v>
      </c>
      <c r="AU369">
        <v>2003</v>
      </c>
      <c r="AV369">
        <v>26</v>
      </c>
      <c r="AW369">
        <v>7</v>
      </c>
      <c r="AX369" t="s">
        <v>74</v>
      </c>
      <c r="AY369" t="s">
        <v>74</v>
      </c>
      <c r="AZ369" t="s">
        <v>74</v>
      </c>
      <c r="BA369" t="s">
        <v>74</v>
      </c>
      <c r="BB369">
        <v>463</v>
      </c>
      <c r="BC369">
        <v>467</v>
      </c>
      <c r="BD369" t="s">
        <v>74</v>
      </c>
      <c r="BE369" t="s">
        <v>5613</v>
      </c>
      <c r="BF369" t="str">
        <f>HYPERLINK("http://dx.doi.org/10.1007/s00300-003-0505-0","http://dx.doi.org/10.1007/s00300-003-0505-0")</f>
        <v>http://dx.doi.org/10.1007/s00300-003-0505-0</v>
      </c>
      <c r="BG369" t="s">
        <v>74</v>
      </c>
      <c r="BH369" t="s">
        <v>74</v>
      </c>
      <c r="BI369">
        <v>5</v>
      </c>
      <c r="BJ369" t="s">
        <v>329</v>
      </c>
      <c r="BK369" t="s">
        <v>94</v>
      </c>
      <c r="BL369" t="s">
        <v>330</v>
      </c>
      <c r="BM369" t="s">
        <v>5573</v>
      </c>
      <c r="BN369" t="s">
        <v>74</v>
      </c>
      <c r="BO369" t="s">
        <v>74</v>
      </c>
      <c r="BP369" t="s">
        <v>74</v>
      </c>
      <c r="BQ369" t="s">
        <v>74</v>
      </c>
      <c r="BR369" t="s">
        <v>97</v>
      </c>
      <c r="BS369" t="s">
        <v>5614</v>
      </c>
      <c r="BT369" t="str">
        <f>HYPERLINK("https%3A%2F%2Fwww.webofscience.com%2Fwos%2Fwoscc%2Ffull-record%2FWOS:000184270900006","View Full Record in Web of Science")</f>
        <v>View Full Record in Web of Science</v>
      </c>
    </row>
    <row r="370" spans="1:72" x14ac:dyDescent="0.15">
      <c r="A370" t="s">
        <v>72</v>
      </c>
      <c r="B370" t="s">
        <v>5615</v>
      </c>
      <c r="C370" t="s">
        <v>74</v>
      </c>
      <c r="D370" t="s">
        <v>74</v>
      </c>
      <c r="E370" t="s">
        <v>74</v>
      </c>
      <c r="F370" t="s">
        <v>5615</v>
      </c>
      <c r="G370" t="s">
        <v>74</v>
      </c>
      <c r="H370" t="s">
        <v>74</v>
      </c>
      <c r="I370" t="s">
        <v>5616</v>
      </c>
      <c r="J370" t="s">
        <v>316</v>
      </c>
      <c r="K370" t="s">
        <v>74</v>
      </c>
      <c r="L370" t="s">
        <v>74</v>
      </c>
      <c r="M370" t="s">
        <v>77</v>
      </c>
      <c r="N370" t="s">
        <v>78</v>
      </c>
      <c r="O370" t="s">
        <v>74</v>
      </c>
      <c r="P370" t="s">
        <v>74</v>
      </c>
      <c r="Q370" t="s">
        <v>74</v>
      </c>
      <c r="R370" t="s">
        <v>74</v>
      </c>
      <c r="S370" t="s">
        <v>74</v>
      </c>
      <c r="T370" t="s">
        <v>74</v>
      </c>
      <c r="U370" t="s">
        <v>5617</v>
      </c>
      <c r="V370" t="s">
        <v>5618</v>
      </c>
      <c r="W370" t="s">
        <v>5619</v>
      </c>
      <c r="X370" t="s">
        <v>5620</v>
      </c>
      <c r="Y370" t="s">
        <v>5621</v>
      </c>
      <c r="Z370" t="s">
        <v>5622</v>
      </c>
      <c r="AA370" t="s">
        <v>5623</v>
      </c>
      <c r="AB370" t="s">
        <v>5624</v>
      </c>
      <c r="AC370" t="s">
        <v>74</v>
      </c>
      <c r="AD370" t="s">
        <v>74</v>
      </c>
      <c r="AE370" t="s">
        <v>74</v>
      </c>
      <c r="AF370" t="s">
        <v>74</v>
      </c>
      <c r="AG370">
        <v>32</v>
      </c>
      <c r="AH370">
        <v>10</v>
      </c>
      <c r="AI370">
        <v>12</v>
      </c>
      <c r="AJ370">
        <v>0</v>
      </c>
      <c r="AK370">
        <v>5</v>
      </c>
      <c r="AL370" t="s">
        <v>207</v>
      </c>
      <c r="AM370" t="s">
        <v>229</v>
      </c>
      <c r="AN370" t="s">
        <v>1592</v>
      </c>
      <c r="AO370" t="s">
        <v>324</v>
      </c>
      <c r="AP370" t="s">
        <v>325</v>
      </c>
      <c r="AQ370" t="s">
        <v>74</v>
      </c>
      <c r="AR370" t="s">
        <v>326</v>
      </c>
      <c r="AS370" t="s">
        <v>327</v>
      </c>
      <c r="AT370" t="s">
        <v>4604</v>
      </c>
      <c r="AU370">
        <v>2003</v>
      </c>
      <c r="AV370">
        <v>26</v>
      </c>
      <c r="AW370">
        <v>7</v>
      </c>
      <c r="AX370" t="s">
        <v>74</v>
      </c>
      <c r="AY370" t="s">
        <v>74</v>
      </c>
      <c r="AZ370" t="s">
        <v>74</v>
      </c>
      <c r="BA370" t="s">
        <v>74</v>
      </c>
      <c r="BB370">
        <v>468</v>
      </c>
      <c r="BC370">
        <v>473</v>
      </c>
      <c r="BD370" t="s">
        <v>74</v>
      </c>
      <c r="BE370" t="s">
        <v>5625</v>
      </c>
      <c r="BF370" t="str">
        <f>HYPERLINK("http://dx.doi.org/10.1007/s00300-003-0511-2","http://dx.doi.org/10.1007/s00300-003-0511-2")</f>
        <v>http://dx.doi.org/10.1007/s00300-003-0511-2</v>
      </c>
      <c r="BG370" t="s">
        <v>74</v>
      </c>
      <c r="BH370" t="s">
        <v>74</v>
      </c>
      <c r="BI370">
        <v>6</v>
      </c>
      <c r="BJ370" t="s">
        <v>329</v>
      </c>
      <c r="BK370" t="s">
        <v>94</v>
      </c>
      <c r="BL370" t="s">
        <v>330</v>
      </c>
      <c r="BM370" t="s">
        <v>5573</v>
      </c>
      <c r="BN370" t="s">
        <v>74</v>
      </c>
      <c r="BO370" t="s">
        <v>74</v>
      </c>
      <c r="BP370" t="s">
        <v>74</v>
      </c>
      <c r="BQ370" t="s">
        <v>74</v>
      </c>
      <c r="BR370" t="s">
        <v>97</v>
      </c>
      <c r="BS370" t="s">
        <v>5626</v>
      </c>
      <c r="BT370" t="str">
        <f>HYPERLINK("https%3A%2F%2Fwww.webofscience.com%2Fwos%2Fwoscc%2Ffull-record%2FWOS:000184270900007","View Full Record in Web of Science")</f>
        <v>View Full Record in Web of Science</v>
      </c>
    </row>
    <row r="371" spans="1:72" x14ac:dyDescent="0.15">
      <c r="A371" t="s">
        <v>72</v>
      </c>
      <c r="B371" t="s">
        <v>5627</v>
      </c>
      <c r="C371" t="s">
        <v>74</v>
      </c>
      <c r="D371" t="s">
        <v>74</v>
      </c>
      <c r="E371" t="s">
        <v>74</v>
      </c>
      <c r="F371" t="s">
        <v>5627</v>
      </c>
      <c r="G371" t="s">
        <v>74</v>
      </c>
      <c r="H371" t="s">
        <v>74</v>
      </c>
      <c r="I371" t="s">
        <v>5628</v>
      </c>
      <c r="J371" t="s">
        <v>316</v>
      </c>
      <c r="K371" t="s">
        <v>74</v>
      </c>
      <c r="L371" t="s">
        <v>74</v>
      </c>
      <c r="M371" t="s">
        <v>77</v>
      </c>
      <c r="N371" t="s">
        <v>78</v>
      </c>
      <c r="O371" t="s">
        <v>74</v>
      </c>
      <c r="P371" t="s">
        <v>74</v>
      </c>
      <c r="Q371" t="s">
        <v>74</v>
      </c>
      <c r="R371" t="s">
        <v>74</v>
      </c>
      <c r="S371" t="s">
        <v>74</v>
      </c>
      <c r="T371" t="s">
        <v>74</v>
      </c>
      <c r="U371" t="s">
        <v>5629</v>
      </c>
      <c r="V371" t="s">
        <v>5630</v>
      </c>
      <c r="W371" t="s">
        <v>5631</v>
      </c>
      <c r="X371" t="s">
        <v>5632</v>
      </c>
      <c r="Y371" t="s">
        <v>5633</v>
      </c>
      <c r="Z371" t="s">
        <v>74</v>
      </c>
      <c r="AA371" t="s">
        <v>5634</v>
      </c>
      <c r="AB371" t="s">
        <v>74</v>
      </c>
      <c r="AC371" t="s">
        <v>74</v>
      </c>
      <c r="AD371" t="s">
        <v>74</v>
      </c>
      <c r="AE371" t="s">
        <v>74</v>
      </c>
      <c r="AF371" t="s">
        <v>74</v>
      </c>
      <c r="AG371">
        <v>32</v>
      </c>
      <c r="AH371">
        <v>48</v>
      </c>
      <c r="AI371">
        <v>56</v>
      </c>
      <c r="AJ371">
        <v>0</v>
      </c>
      <c r="AK371">
        <v>16</v>
      </c>
      <c r="AL371" t="s">
        <v>342</v>
      </c>
      <c r="AM371" t="s">
        <v>229</v>
      </c>
      <c r="AN371" t="s">
        <v>343</v>
      </c>
      <c r="AO371" t="s">
        <v>324</v>
      </c>
      <c r="AP371" t="s">
        <v>74</v>
      </c>
      <c r="AQ371" t="s">
        <v>74</v>
      </c>
      <c r="AR371" t="s">
        <v>326</v>
      </c>
      <c r="AS371" t="s">
        <v>327</v>
      </c>
      <c r="AT371" t="s">
        <v>4604</v>
      </c>
      <c r="AU371">
        <v>2003</v>
      </c>
      <c r="AV371">
        <v>26</v>
      </c>
      <c r="AW371">
        <v>7</v>
      </c>
      <c r="AX371" t="s">
        <v>74</v>
      </c>
      <c r="AY371" t="s">
        <v>74</v>
      </c>
      <c r="AZ371" t="s">
        <v>74</v>
      </c>
      <c r="BA371" t="s">
        <v>74</v>
      </c>
      <c r="BB371">
        <v>474</v>
      </c>
      <c r="BC371">
        <v>485</v>
      </c>
      <c r="BD371" t="s">
        <v>74</v>
      </c>
      <c r="BE371" t="s">
        <v>5635</v>
      </c>
      <c r="BF371" t="str">
        <f>HYPERLINK("http://dx.doi.org/10.1007/s00300-003-0509-9","http://dx.doi.org/10.1007/s00300-003-0509-9")</f>
        <v>http://dx.doi.org/10.1007/s00300-003-0509-9</v>
      </c>
      <c r="BG371" t="s">
        <v>74</v>
      </c>
      <c r="BH371" t="s">
        <v>74</v>
      </c>
      <c r="BI371">
        <v>12</v>
      </c>
      <c r="BJ371" t="s">
        <v>329</v>
      </c>
      <c r="BK371" t="s">
        <v>94</v>
      </c>
      <c r="BL371" t="s">
        <v>330</v>
      </c>
      <c r="BM371" t="s">
        <v>5573</v>
      </c>
      <c r="BN371" t="s">
        <v>74</v>
      </c>
      <c r="BO371" t="s">
        <v>74</v>
      </c>
      <c r="BP371" t="s">
        <v>74</v>
      </c>
      <c r="BQ371" t="s">
        <v>74</v>
      </c>
      <c r="BR371" t="s">
        <v>97</v>
      </c>
      <c r="BS371" t="s">
        <v>5636</v>
      </c>
      <c r="BT371" t="str">
        <f>HYPERLINK("https%3A%2F%2Fwww.webofscience.com%2Fwos%2Fwoscc%2Ffull-record%2FWOS:000184270900008","View Full Record in Web of Science")</f>
        <v>View Full Record in Web of Science</v>
      </c>
    </row>
    <row r="372" spans="1:72" x14ac:dyDescent="0.15">
      <c r="A372" t="s">
        <v>72</v>
      </c>
      <c r="B372" t="s">
        <v>5637</v>
      </c>
      <c r="C372" t="s">
        <v>74</v>
      </c>
      <c r="D372" t="s">
        <v>74</v>
      </c>
      <c r="E372" t="s">
        <v>74</v>
      </c>
      <c r="F372" t="s">
        <v>5637</v>
      </c>
      <c r="G372" t="s">
        <v>74</v>
      </c>
      <c r="H372" t="s">
        <v>74</v>
      </c>
      <c r="I372" t="s">
        <v>5638</v>
      </c>
      <c r="J372" t="s">
        <v>5639</v>
      </c>
      <c r="K372" t="s">
        <v>74</v>
      </c>
      <c r="L372" t="s">
        <v>74</v>
      </c>
      <c r="M372" t="s">
        <v>77</v>
      </c>
      <c r="N372" t="s">
        <v>78</v>
      </c>
      <c r="O372" t="s">
        <v>74</v>
      </c>
      <c r="P372" t="s">
        <v>74</v>
      </c>
      <c r="Q372" t="s">
        <v>74</v>
      </c>
      <c r="R372" t="s">
        <v>74</v>
      </c>
      <c r="S372" t="s">
        <v>74</v>
      </c>
      <c r="T372" t="s">
        <v>5640</v>
      </c>
      <c r="U372" t="s">
        <v>5641</v>
      </c>
      <c r="V372" t="s">
        <v>5642</v>
      </c>
      <c r="W372" t="s">
        <v>5643</v>
      </c>
      <c r="X372" t="s">
        <v>5644</v>
      </c>
      <c r="Y372" t="s">
        <v>5645</v>
      </c>
      <c r="Z372" t="s">
        <v>74</v>
      </c>
      <c r="AA372" t="s">
        <v>74</v>
      </c>
      <c r="AB372" t="s">
        <v>74</v>
      </c>
      <c r="AC372" t="s">
        <v>74</v>
      </c>
      <c r="AD372" t="s">
        <v>74</v>
      </c>
      <c r="AE372" t="s">
        <v>74</v>
      </c>
      <c r="AF372" t="s">
        <v>74</v>
      </c>
      <c r="AG372">
        <v>37</v>
      </c>
      <c r="AH372">
        <v>23</v>
      </c>
      <c r="AI372">
        <v>30</v>
      </c>
      <c r="AJ372">
        <v>1</v>
      </c>
      <c r="AK372">
        <v>17</v>
      </c>
      <c r="AL372" t="s">
        <v>188</v>
      </c>
      <c r="AM372" t="s">
        <v>170</v>
      </c>
      <c r="AN372" t="s">
        <v>189</v>
      </c>
      <c r="AO372" t="s">
        <v>5646</v>
      </c>
      <c r="AP372" t="s">
        <v>74</v>
      </c>
      <c r="AQ372" t="s">
        <v>74</v>
      </c>
      <c r="AR372" t="s">
        <v>5647</v>
      </c>
      <c r="AS372" t="s">
        <v>5648</v>
      </c>
      <c r="AT372" t="s">
        <v>4604</v>
      </c>
      <c r="AU372">
        <v>2003</v>
      </c>
      <c r="AV372">
        <v>16</v>
      </c>
      <c r="AW372">
        <v>7</v>
      </c>
      <c r="AX372" t="s">
        <v>74</v>
      </c>
      <c r="AY372" t="s">
        <v>74</v>
      </c>
      <c r="AZ372" t="s">
        <v>74</v>
      </c>
      <c r="BA372" t="s">
        <v>74</v>
      </c>
      <c r="BB372">
        <v>497</v>
      </c>
      <c r="BC372">
        <v>503</v>
      </c>
      <c r="BD372" t="s">
        <v>74</v>
      </c>
      <c r="BE372" t="s">
        <v>5649</v>
      </c>
      <c r="BF372" t="str">
        <f>HYPERLINK("http://dx.doi.org/10.1093/protein/gzg069","http://dx.doi.org/10.1093/protein/gzg069")</f>
        <v>http://dx.doi.org/10.1093/protein/gzg069</v>
      </c>
      <c r="BG372" t="s">
        <v>74</v>
      </c>
      <c r="BH372" t="s">
        <v>74</v>
      </c>
      <c r="BI372">
        <v>7</v>
      </c>
      <c r="BJ372" t="s">
        <v>5650</v>
      </c>
      <c r="BK372" t="s">
        <v>94</v>
      </c>
      <c r="BL372" t="s">
        <v>5650</v>
      </c>
      <c r="BM372" t="s">
        <v>5651</v>
      </c>
      <c r="BN372">
        <v>12915727</v>
      </c>
      <c r="BO372" t="s">
        <v>628</v>
      </c>
      <c r="BP372" t="s">
        <v>74</v>
      </c>
      <c r="BQ372" t="s">
        <v>74</v>
      </c>
      <c r="BR372" t="s">
        <v>97</v>
      </c>
      <c r="BS372" t="s">
        <v>5652</v>
      </c>
      <c r="BT372" t="str">
        <f>HYPERLINK("https%3A%2F%2Fwww.webofscience.com%2Fwos%2Fwoscc%2Ffull-record%2FWOS:000184782400006","View Full Record in Web of Science")</f>
        <v>View Full Record in Web of Science</v>
      </c>
    </row>
    <row r="373" spans="1:72" x14ac:dyDescent="0.15">
      <c r="A373" t="s">
        <v>72</v>
      </c>
      <c r="B373" t="s">
        <v>5653</v>
      </c>
      <c r="C373" t="s">
        <v>74</v>
      </c>
      <c r="D373" t="s">
        <v>74</v>
      </c>
      <c r="E373" t="s">
        <v>74</v>
      </c>
      <c r="F373" t="s">
        <v>5653</v>
      </c>
      <c r="G373" t="s">
        <v>74</v>
      </c>
      <c r="H373" t="s">
        <v>74</v>
      </c>
      <c r="I373" t="s">
        <v>5654</v>
      </c>
      <c r="J373" t="s">
        <v>434</v>
      </c>
      <c r="K373" t="s">
        <v>74</v>
      </c>
      <c r="L373" t="s">
        <v>74</v>
      </c>
      <c r="M373" t="s">
        <v>77</v>
      </c>
      <c r="N373" t="s">
        <v>78</v>
      </c>
      <c r="O373" t="s">
        <v>74</v>
      </c>
      <c r="P373" t="s">
        <v>74</v>
      </c>
      <c r="Q373" t="s">
        <v>74</v>
      </c>
      <c r="R373" t="s">
        <v>74</v>
      </c>
      <c r="S373" t="s">
        <v>74</v>
      </c>
      <c r="T373" t="s">
        <v>5655</v>
      </c>
      <c r="U373" t="s">
        <v>5656</v>
      </c>
      <c r="V373" t="s">
        <v>5657</v>
      </c>
      <c r="W373" t="s">
        <v>5658</v>
      </c>
      <c r="X373" t="s">
        <v>5659</v>
      </c>
      <c r="Y373" t="s">
        <v>5660</v>
      </c>
      <c r="Z373" t="s">
        <v>74</v>
      </c>
      <c r="AA373" t="s">
        <v>5661</v>
      </c>
      <c r="AB373" t="s">
        <v>5662</v>
      </c>
      <c r="AC373" t="s">
        <v>74</v>
      </c>
      <c r="AD373" t="s">
        <v>74</v>
      </c>
      <c r="AE373" t="s">
        <v>74</v>
      </c>
      <c r="AF373" t="s">
        <v>74</v>
      </c>
      <c r="AG373">
        <v>49</v>
      </c>
      <c r="AH373">
        <v>4</v>
      </c>
      <c r="AI373">
        <v>4</v>
      </c>
      <c r="AJ373">
        <v>0</v>
      </c>
      <c r="AK373">
        <v>3</v>
      </c>
      <c r="AL373" t="s">
        <v>441</v>
      </c>
      <c r="AM373" t="s">
        <v>442</v>
      </c>
      <c r="AN373" t="s">
        <v>443</v>
      </c>
      <c r="AO373" t="s">
        <v>444</v>
      </c>
      <c r="AP373" t="s">
        <v>74</v>
      </c>
      <c r="AQ373" t="s">
        <v>74</v>
      </c>
      <c r="AR373" t="s">
        <v>445</v>
      </c>
      <c r="AS373" t="s">
        <v>446</v>
      </c>
      <c r="AT373" t="s">
        <v>4604</v>
      </c>
      <c r="AU373">
        <v>2003</v>
      </c>
      <c r="AV373">
        <v>129</v>
      </c>
      <c r="AW373">
        <v>592</v>
      </c>
      <c r="AX373" t="s">
        <v>447</v>
      </c>
      <c r="AY373" t="s">
        <v>74</v>
      </c>
      <c r="AZ373" t="s">
        <v>74</v>
      </c>
      <c r="BA373" t="s">
        <v>74</v>
      </c>
      <c r="BB373">
        <v>2347</v>
      </c>
      <c r="BC373">
        <v>2366</v>
      </c>
      <c r="BD373" t="s">
        <v>74</v>
      </c>
      <c r="BE373" t="s">
        <v>5663</v>
      </c>
      <c r="BF373" t="str">
        <f>HYPERLINK("http://dx.doi.org/10.1256/qj.02.70","http://dx.doi.org/10.1256/qj.02.70")</f>
        <v>http://dx.doi.org/10.1256/qj.02.70</v>
      </c>
      <c r="BG373" t="s">
        <v>74</v>
      </c>
      <c r="BH373" t="s">
        <v>74</v>
      </c>
      <c r="BI373">
        <v>20</v>
      </c>
      <c r="BJ373" t="s">
        <v>93</v>
      </c>
      <c r="BK373" t="s">
        <v>94</v>
      </c>
      <c r="BL373" t="s">
        <v>93</v>
      </c>
      <c r="BM373" t="s">
        <v>5664</v>
      </c>
      <c r="BN373" t="s">
        <v>74</v>
      </c>
      <c r="BO373" t="s">
        <v>74</v>
      </c>
      <c r="BP373" t="s">
        <v>74</v>
      </c>
      <c r="BQ373" t="s">
        <v>74</v>
      </c>
      <c r="BR373" t="s">
        <v>97</v>
      </c>
      <c r="BS373" t="s">
        <v>5665</v>
      </c>
      <c r="BT373" t="str">
        <f>HYPERLINK("https%3A%2F%2Fwww.webofscience.com%2Fwos%2Fwoscc%2Ffull-record%2FWOS:000184289600014","View Full Record in Web of Science")</f>
        <v>View Full Record in Web of Science</v>
      </c>
    </row>
    <row r="374" spans="1:72" x14ac:dyDescent="0.15">
      <c r="A374" t="s">
        <v>72</v>
      </c>
      <c r="B374" t="s">
        <v>5666</v>
      </c>
      <c r="C374" t="s">
        <v>74</v>
      </c>
      <c r="D374" t="s">
        <v>74</v>
      </c>
      <c r="E374" t="s">
        <v>74</v>
      </c>
      <c r="F374" t="s">
        <v>5666</v>
      </c>
      <c r="G374" t="s">
        <v>74</v>
      </c>
      <c r="H374" t="s">
        <v>74</v>
      </c>
      <c r="I374" t="s">
        <v>5667</v>
      </c>
      <c r="J374" t="s">
        <v>434</v>
      </c>
      <c r="K374" t="s">
        <v>74</v>
      </c>
      <c r="L374" t="s">
        <v>74</v>
      </c>
      <c r="M374" t="s">
        <v>77</v>
      </c>
      <c r="N374" t="s">
        <v>78</v>
      </c>
      <c r="O374" t="s">
        <v>74</v>
      </c>
      <c r="P374" t="s">
        <v>74</v>
      </c>
      <c r="Q374" t="s">
        <v>74</v>
      </c>
      <c r="R374" t="s">
        <v>74</v>
      </c>
      <c r="S374" t="s">
        <v>74</v>
      </c>
      <c r="T374" t="s">
        <v>5668</v>
      </c>
      <c r="U374" t="s">
        <v>5669</v>
      </c>
      <c r="V374" t="s">
        <v>5670</v>
      </c>
      <c r="W374" t="s">
        <v>5671</v>
      </c>
      <c r="X374" t="s">
        <v>5672</v>
      </c>
      <c r="Y374" t="s">
        <v>5673</v>
      </c>
      <c r="Z374" t="s">
        <v>5674</v>
      </c>
      <c r="AA374" t="s">
        <v>74</v>
      </c>
      <c r="AB374" t="s">
        <v>5675</v>
      </c>
      <c r="AC374" t="s">
        <v>74</v>
      </c>
      <c r="AD374" t="s">
        <v>74</v>
      </c>
      <c r="AE374" t="s">
        <v>74</v>
      </c>
      <c r="AF374" t="s">
        <v>74</v>
      </c>
      <c r="AG374">
        <v>29</v>
      </c>
      <c r="AH374">
        <v>5</v>
      </c>
      <c r="AI374">
        <v>6</v>
      </c>
      <c r="AJ374">
        <v>0</v>
      </c>
      <c r="AK374">
        <v>2</v>
      </c>
      <c r="AL374" t="s">
        <v>250</v>
      </c>
      <c r="AM374" t="s">
        <v>251</v>
      </c>
      <c r="AN374" t="s">
        <v>252</v>
      </c>
      <c r="AO374" t="s">
        <v>444</v>
      </c>
      <c r="AP374" t="s">
        <v>5676</v>
      </c>
      <c r="AQ374" t="s">
        <v>74</v>
      </c>
      <c r="AR374" t="s">
        <v>445</v>
      </c>
      <c r="AS374" t="s">
        <v>446</v>
      </c>
      <c r="AT374" t="s">
        <v>4604</v>
      </c>
      <c r="AU374">
        <v>2003</v>
      </c>
      <c r="AV374">
        <v>129</v>
      </c>
      <c r="AW374">
        <v>593</v>
      </c>
      <c r="AX374" t="s">
        <v>5677</v>
      </c>
      <c r="AY374" t="s">
        <v>74</v>
      </c>
      <c r="AZ374" t="s">
        <v>74</v>
      </c>
      <c r="BA374" t="s">
        <v>74</v>
      </c>
      <c r="BB374">
        <v>2495</v>
      </c>
      <c r="BC374">
        <v>2511</v>
      </c>
      <c r="BD374" t="s">
        <v>74</v>
      </c>
      <c r="BE374" t="s">
        <v>5678</v>
      </c>
      <c r="BF374" t="str">
        <f>HYPERLINK("http://dx.doi.org/10.1256/qj.02.98","http://dx.doi.org/10.1256/qj.02.98")</f>
        <v>http://dx.doi.org/10.1256/qj.02.98</v>
      </c>
      <c r="BG374" t="s">
        <v>74</v>
      </c>
      <c r="BH374" t="s">
        <v>74</v>
      </c>
      <c r="BI374">
        <v>17</v>
      </c>
      <c r="BJ374" t="s">
        <v>93</v>
      </c>
      <c r="BK374" t="s">
        <v>94</v>
      </c>
      <c r="BL374" t="s">
        <v>93</v>
      </c>
      <c r="BM374" t="s">
        <v>5679</v>
      </c>
      <c r="BN374" t="s">
        <v>74</v>
      </c>
      <c r="BO374" t="s">
        <v>2139</v>
      </c>
      <c r="BP374" t="s">
        <v>74</v>
      </c>
      <c r="BQ374" t="s">
        <v>74</v>
      </c>
      <c r="BR374" t="s">
        <v>97</v>
      </c>
      <c r="BS374" t="s">
        <v>5680</v>
      </c>
      <c r="BT374" t="str">
        <f>HYPERLINK("https%3A%2F%2Fwww.webofscience.com%2Fwos%2Fwoscc%2Ffull-record%2FWOS:000185187600003","View Full Record in Web of Science")</f>
        <v>View Full Record in Web of Science</v>
      </c>
    </row>
    <row r="375" spans="1:72" x14ac:dyDescent="0.15">
      <c r="A375" t="s">
        <v>72</v>
      </c>
      <c r="B375" t="s">
        <v>5681</v>
      </c>
      <c r="C375" t="s">
        <v>74</v>
      </c>
      <c r="D375" t="s">
        <v>74</v>
      </c>
      <c r="E375" t="s">
        <v>74</v>
      </c>
      <c r="F375" t="s">
        <v>5681</v>
      </c>
      <c r="G375" t="s">
        <v>74</v>
      </c>
      <c r="H375" t="s">
        <v>74</v>
      </c>
      <c r="I375" t="s">
        <v>5682</v>
      </c>
      <c r="J375" t="s">
        <v>5683</v>
      </c>
      <c r="K375" t="s">
        <v>74</v>
      </c>
      <c r="L375" t="s">
        <v>74</v>
      </c>
      <c r="M375" t="s">
        <v>77</v>
      </c>
      <c r="N375" t="s">
        <v>78</v>
      </c>
      <c r="O375" t="s">
        <v>74</v>
      </c>
      <c r="P375" t="s">
        <v>74</v>
      </c>
      <c r="Q375" t="s">
        <v>74</v>
      </c>
      <c r="R375" t="s">
        <v>74</v>
      </c>
      <c r="S375" t="s">
        <v>74</v>
      </c>
      <c r="T375" t="s">
        <v>74</v>
      </c>
      <c r="U375" t="s">
        <v>5684</v>
      </c>
      <c r="V375" t="s">
        <v>5685</v>
      </c>
      <c r="W375" t="s">
        <v>5686</v>
      </c>
      <c r="X375" t="s">
        <v>5687</v>
      </c>
      <c r="Y375" t="s">
        <v>5688</v>
      </c>
      <c r="Z375" t="s">
        <v>5689</v>
      </c>
      <c r="AA375" t="s">
        <v>74</v>
      </c>
      <c r="AB375" t="s">
        <v>74</v>
      </c>
      <c r="AC375" t="s">
        <v>74</v>
      </c>
      <c r="AD375" t="s">
        <v>74</v>
      </c>
      <c r="AE375" t="s">
        <v>74</v>
      </c>
      <c r="AF375" t="s">
        <v>74</v>
      </c>
      <c r="AG375">
        <v>46</v>
      </c>
      <c r="AH375">
        <v>44</v>
      </c>
      <c r="AI375">
        <v>51</v>
      </c>
      <c r="AJ375">
        <v>1</v>
      </c>
      <c r="AK375">
        <v>24</v>
      </c>
      <c r="AL375" t="s">
        <v>169</v>
      </c>
      <c r="AM375" t="s">
        <v>170</v>
      </c>
      <c r="AN375" t="s">
        <v>171</v>
      </c>
      <c r="AO375" t="s">
        <v>5690</v>
      </c>
      <c r="AP375" t="s">
        <v>74</v>
      </c>
      <c r="AQ375" t="s">
        <v>74</v>
      </c>
      <c r="AR375" t="s">
        <v>5691</v>
      </c>
      <c r="AS375" t="s">
        <v>5692</v>
      </c>
      <c r="AT375" t="s">
        <v>4714</v>
      </c>
      <c r="AU375">
        <v>2003</v>
      </c>
      <c r="AV375">
        <v>22</v>
      </c>
      <c r="AW375" t="s">
        <v>5693</v>
      </c>
      <c r="AX375" t="s">
        <v>74</v>
      </c>
      <c r="AY375" t="s">
        <v>74</v>
      </c>
      <c r="AZ375" t="s">
        <v>74</v>
      </c>
      <c r="BA375" t="s">
        <v>74</v>
      </c>
      <c r="BB375">
        <v>1631</v>
      </c>
      <c r="BC375">
        <v>1646</v>
      </c>
      <c r="BD375" t="s">
        <v>74</v>
      </c>
      <c r="BE375" t="s">
        <v>5694</v>
      </c>
      <c r="BF375" t="str">
        <f>HYPERLINK("http://dx.doi.org/10.1016/S0277-3791(03)00152-5","http://dx.doi.org/10.1016/S0277-3791(03)00152-5")</f>
        <v>http://dx.doi.org/10.1016/S0277-3791(03)00152-5</v>
      </c>
      <c r="BG375" t="s">
        <v>74</v>
      </c>
      <c r="BH375" t="s">
        <v>74</v>
      </c>
      <c r="BI375">
        <v>16</v>
      </c>
      <c r="BJ375" t="s">
        <v>1433</v>
      </c>
      <c r="BK375" t="s">
        <v>94</v>
      </c>
      <c r="BL375" t="s">
        <v>1434</v>
      </c>
      <c r="BM375" t="s">
        <v>5695</v>
      </c>
      <c r="BN375" t="s">
        <v>74</v>
      </c>
      <c r="BO375" t="s">
        <v>74</v>
      </c>
      <c r="BP375" t="s">
        <v>74</v>
      </c>
      <c r="BQ375" t="s">
        <v>74</v>
      </c>
      <c r="BR375" t="s">
        <v>97</v>
      </c>
      <c r="BS375" t="s">
        <v>5696</v>
      </c>
      <c r="BT375" t="str">
        <f>HYPERLINK("https%3A%2F%2Fwww.webofscience.com%2Fwos%2Fwoscc%2Ffull-record%2FWOS:000184504700006","View Full Record in Web of Science")</f>
        <v>View Full Record in Web of Science</v>
      </c>
    </row>
    <row r="376" spans="1:72" x14ac:dyDescent="0.15">
      <c r="A376" t="s">
        <v>72</v>
      </c>
      <c r="B376" t="s">
        <v>5697</v>
      </c>
      <c r="C376" t="s">
        <v>74</v>
      </c>
      <c r="D376" t="s">
        <v>74</v>
      </c>
      <c r="E376" t="s">
        <v>74</v>
      </c>
      <c r="F376" t="s">
        <v>5697</v>
      </c>
      <c r="G376" t="s">
        <v>74</v>
      </c>
      <c r="H376" t="s">
        <v>74</v>
      </c>
      <c r="I376" t="s">
        <v>5698</v>
      </c>
      <c r="J376" t="s">
        <v>5699</v>
      </c>
      <c r="K376" t="s">
        <v>74</v>
      </c>
      <c r="L376" t="s">
        <v>74</v>
      </c>
      <c r="M376" t="s">
        <v>77</v>
      </c>
      <c r="N376" t="s">
        <v>78</v>
      </c>
      <c r="O376" t="s">
        <v>74</v>
      </c>
      <c r="P376" t="s">
        <v>74</v>
      </c>
      <c r="Q376" t="s">
        <v>74</v>
      </c>
      <c r="R376" t="s">
        <v>74</v>
      </c>
      <c r="S376" t="s">
        <v>74</v>
      </c>
      <c r="T376" t="s">
        <v>5700</v>
      </c>
      <c r="U376" t="s">
        <v>5701</v>
      </c>
      <c r="V376" t="s">
        <v>5702</v>
      </c>
      <c r="W376" t="s">
        <v>5703</v>
      </c>
      <c r="X376" t="s">
        <v>5704</v>
      </c>
      <c r="Y376" t="s">
        <v>5705</v>
      </c>
      <c r="Z376" t="s">
        <v>74</v>
      </c>
      <c r="AA376" t="s">
        <v>5706</v>
      </c>
      <c r="AB376" t="s">
        <v>74</v>
      </c>
      <c r="AC376" t="s">
        <v>74</v>
      </c>
      <c r="AD376" t="s">
        <v>74</v>
      </c>
      <c r="AE376" t="s">
        <v>74</v>
      </c>
      <c r="AF376" t="s">
        <v>74</v>
      </c>
      <c r="AG376">
        <v>24</v>
      </c>
      <c r="AH376">
        <v>10</v>
      </c>
      <c r="AI376">
        <v>11</v>
      </c>
      <c r="AJ376">
        <v>0</v>
      </c>
      <c r="AK376">
        <v>3</v>
      </c>
      <c r="AL376" t="s">
        <v>5707</v>
      </c>
      <c r="AM376" t="s">
        <v>229</v>
      </c>
      <c r="AN376" t="s">
        <v>1592</v>
      </c>
      <c r="AO376" t="s">
        <v>5708</v>
      </c>
      <c r="AP376" t="s">
        <v>74</v>
      </c>
      <c r="AQ376" t="s">
        <v>74</v>
      </c>
      <c r="AR376" t="s">
        <v>5709</v>
      </c>
      <c r="AS376" t="s">
        <v>5710</v>
      </c>
      <c r="AT376" t="s">
        <v>4604</v>
      </c>
      <c r="AU376">
        <v>2003</v>
      </c>
      <c r="AV376">
        <v>52</v>
      </c>
      <c r="AW376">
        <v>7</v>
      </c>
      <c r="AX376" t="s">
        <v>74</v>
      </c>
      <c r="AY376" t="s">
        <v>74</v>
      </c>
      <c r="AZ376" t="s">
        <v>74</v>
      </c>
      <c r="BA376" t="s">
        <v>74</v>
      </c>
      <c r="BB376">
        <v>1623</v>
      </c>
      <c r="BC376">
        <v>1628</v>
      </c>
      <c r="BD376" t="s">
        <v>74</v>
      </c>
      <c r="BE376" t="s">
        <v>5711</v>
      </c>
      <c r="BF376" t="str">
        <f>HYPERLINK("http://dx.doi.org/10.1023/A:1025613714119","http://dx.doi.org/10.1023/A:1025613714119")</f>
        <v>http://dx.doi.org/10.1023/A:1025613714119</v>
      </c>
      <c r="BG376" t="s">
        <v>74</v>
      </c>
      <c r="BH376" t="s">
        <v>74</v>
      </c>
      <c r="BI376">
        <v>6</v>
      </c>
      <c r="BJ376" t="s">
        <v>5712</v>
      </c>
      <c r="BK376" t="s">
        <v>94</v>
      </c>
      <c r="BL376" t="s">
        <v>4142</v>
      </c>
      <c r="BM376" t="s">
        <v>5713</v>
      </c>
      <c r="BN376" t="s">
        <v>74</v>
      </c>
      <c r="BO376" t="s">
        <v>74</v>
      </c>
      <c r="BP376" t="s">
        <v>74</v>
      </c>
      <c r="BQ376" t="s">
        <v>74</v>
      </c>
      <c r="BR376" t="s">
        <v>97</v>
      </c>
      <c r="BS376" t="s">
        <v>5714</v>
      </c>
      <c r="BT376" t="str">
        <f>HYPERLINK("https%3A%2F%2Fwww.webofscience.com%2Fwos%2Fwoscc%2Ffull-record%2FWOS:000185987400026","View Full Record in Web of Science")</f>
        <v>View Full Record in Web of Science</v>
      </c>
    </row>
    <row r="377" spans="1:72" x14ac:dyDescent="0.15">
      <c r="A377" t="s">
        <v>72</v>
      </c>
      <c r="B377" t="s">
        <v>5715</v>
      </c>
      <c r="C377" t="s">
        <v>74</v>
      </c>
      <c r="D377" t="s">
        <v>74</v>
      </c>
      <c r="E377" t="s">
        <v>74</v>
      </c>
      <c r="F377" t="s">
        <v>5715</v>
      </c>
      <c r="G377" t="s">
        <v>74</v>
      </c>
      <c r="H377" t="s">
        <v>74</v>
      </c>
      <c r="I377" t="s">
        <v>5716</v>
      </c>
      <c r="J377" t="s">
        <v>5717</v>
      </c>
      <c r="K377" t="s">
        <v>74</v>
      </c>
      <c r="L377" t="s">
        <v>74</v>
      </c>
      <c r="M377" t="s">
        <v>77</v>
      </c>
      <c r="N377" t="s">
        <v>78</v>
      </c>
      <c r="O377" t="s">
        <v>74</v>
      </c>
      <c r="P377" t="s">
        <v>74</v>
      </c>
      <c r="Q377" t="s">
        <v>74</v>
      </c>
      <c r="R377" t="s">
        <v>74</v>
      </c>
      <c r="S377" t="s">
        <v>74</v>
      </c>
      <c r="T377" t="s">
        <v>5718</v>
      </c>
      <c r="U377" t="s">
        <v>5719</v>
      </c>
      <c r="V377" t="s">
        <v>5720</v>
      </c>
      <c r="W377" t="s">
        <v>5721</v>
      </c>
      <c r="X377" t="s">
        <v>5722</v>
      </c>
      <c r="Y377" t="s">
        <v>5723</v>
      </c>
      <c r="Z377" t="s">
        <v>5724</v>
      </c>
      <c r="AA377" t="s">
        <v>74</v>
      </c>
      <c r="AB377" t="s">
        <v>74</v>
      </c>
      <c r="AC377" t="s">
        <v>74</v>
      </c>
      <c r="AD377" t="s">
        <v>74</v>
      </c>
      <c r="AE377" t="s">
        <v>74</v>
      </c>
      <c r="AF377" t="s">
        <v>74</v>
      </c>
      <c r="AG377">
        <v>23</v>
      </c>
      <c r="AH377">
        <v>8</v>
      </c>
      <c r="AI377">
        <v>12</v>
      </c>
      <c r="AJ377">
        <v>0</v>
      </c>
      <c r="AK377">
        <v>4</v>
      </c>
      <c r="AL377" t="s">
        <v>3369</v>
      </c>
      <c r="AM377" t="s">
        <v>3370</v>
      </c>
      <c r="AN377" t="s">
        <v>3371</v>
      </c>
      <c r="AO377" t="s">
        <v>5725</v>
      </c>
      <c r="AP377" t="s">
        <v>74</v>
      </c>
      <c r="AQ377" t="s">
        <v>74</v>
      </c>
      <c r="AR377" t="s">
        <v>5726</v>
      </c>
      <c r="AS377" t="s">
        <v>5727</v>
      </c>
      <c r="AT377" t="s">
        <v>4604</v>
      </c>
      <c r="AU377">
        <v>2003</v>
      </c>
      <c r="AV377">
        <v>46</v>
      </c>
      <c r="AW377">
        <v>7</v>
      </c>
      <c r="AX377" t="s">
        <v>74</v>
      </c>
      <c r="AY377" t="s">
        <v>74</v>
      </c>
      <c r="AZ377" t="s">
        <v>74</v>
      </c>
      <c r="BA377" t="s">
        <v>74</v>
      </c>
      <c r="BB377">
        <v>683</v>
      </c>
      <c r="BC377">
        <v>693</v>
      </c>
      <c r="BD377" t="s">
        <v>74</v>
      </c>
      <c r="BE377" t="s">
        <v>5728</v>
      </c>
      <c r="BF377" t="str">
        <f>HYPERLINK("http://dx.doi.org/10.1360/03yd9060","http://dx.doi.org/10.1360/03yd9060")</f>
        <v>http://dx.doi.org/10.1360/03yd9060</v>
      </c>
      <c r="BG377" t="s">
        <v>74</v>
      </c>
      <c r="BH377" t="s">
        <v>74</v>
      </c>
      <c r="BI377">
        <v>11</v>
      </c>
      <c r="BJ377" t="s">
        <v>548</v>
      </c>
      <c r="BK377" t="s">
        <v>94</v>
      </c>
      <c r="BL377" t="s">
        <v>549</v>
      </c>
      <c r="BM377" t="s">
        <v>5729</v>
      </c>
      <c r="BN377" t="s">
        <v>74</v>
      </c>
      <c r="BO377" t="s">
        <v>74</v>
      </c>
      <c r="BP377" t="s">
        <v>74</v>
      </c>
      <c r="BQ377" t="s">
        <v>74</v>
      </c>
      <c r="BR377" t="s">
        <v>97</v>
      </c>
      <c r="BS377" t="s">
        <v>5730</v>
      </c>
      <c r="BT377" t="str">
        <f>HYPERLINK("https%3A%2F%2Fwww.webofscience.com%2Fwos%2Fwoscc%2Ffull-record%2FWOS:000183283600005","View Full Record in Web of Science")</f>
        <v>View Full Record in Web of Science</v>
      </c>
    </row>
    <row r="378" spans="1:72" x14ac:dyDescent="0.15">
      <c r="A378" t="s">
        <v>72</v>
      </c>
      <c r="B378" t="s">
        <v>5731</v>
      </c>
      <c r="C378" t="s">
        <v>74</v>
      </c>
      <c r="D378" t="s">
        <v>74</v>
      </c>
      <c r="E378" t="s">
        <v>74</v>
      </c>
      <c r="F378" t="s">
        <v>5731</v>
      </c>
      <c r="G378" t="s">
        <v>74</v>
      </c>
      <c r="H378" t="s">
        <v>74</v>
      </c>
      <c r="I378" t="s">
        <v>5732</v>
      </c>
      <c r="J378" t="s">
        <v>5733</v>
      </c>
      <c r="K378" t="s">
        <v>74</v>
      </c>
      <c r="L378" t="s">
        <v>74</v>
      </c>
      <c r="M378" t="s">
        <v>77</v>
      </c>
      <c r="N378" t="s">
        <v>78</v>
      </c>
      <c r="O378" t="s">
        <v>74</v>
      </c>
      <c r="P378" t="s">
        <v>74</v>
      </c>
      <c r="Q378" t="s">
        <v>74</v>
      </c>
      <c r="R378" t="s">
        <v>74</v>
      </c>
      <c r="S378" t="s">
        <v>74</v>
      </c>
      <c r="T378" t="s">
        <v>74</v>
      </c>
      <c r="U378" t="s">
        <v>5734</v>
      </c>
      <c r="V378" t="s">
        <v>5735</v>
      </c>
      <c r="W378" t="s">
        <v>5736</v>
      </c>
      <c r="X378" t="s">
        <v>5737</v>
      </c>
      <c r="Y378" t="s">
        <v>5738</v>
      </c>
      <c r="Z378" t="s">
        <v>74</v>
      </c>
      <c r="AA378" t="s">
        <v>5739</v>
      </c>
      <c r="AB378" t="s">
        <v>5740</v>
      </c>
      <c r="AC378" t="s">
        <v>74</v>
      </c>
      <c r="AD378" t="s">
        <v>74</v>
      </c>
      <c r="AE378" t="s">
        <v>74</v>
      </c>
      <c r="AF378" t="s">
        <v>74</v>
      </c>
      <c r="AG378">
        <v>11</v>
      </c>
      <c r="AH378">
        <v>43</v>
      </c>
      <c r="AI378">
        <v>50</v>
      </c>
      <c r="AJ378">
        <v>0</v>
      </c>
      <c r="AK378">
        <v>7</v>
      </c>
      <c r="AL378" t="s">
        <v>5741</v>
      </c>
      <c r="AM378" t="s">
        <v>5742</v>
      </c>
      <c r="AN378" t="s">
        <v>5743</v>
      </c>
      <c r="AO378" t="s">
        <v>5744</v>
      </c>
      <c r="AP378" t="s">
        <v>74</v>
      </c>
      <c r="AQ378" t="s">
        <v>74</v>
      </c>
      <c r="AR378" t="s">
        <v>5745</v>
      </c>
      <c r="AS378" t="s">
        <v>5746</v>
      </c>
      <c r="AT378" t="s">
        <v>4714</v>
      </c>
      <c r="AU378">
        <v>2003</v>
      </c>
      <c r="AV378">
        <v>99</v>
      </c>
      <c r="AW378" t="s">
        <v>5747</v>
      </c>
      <c r="AX378" t="s">
        <v>74</v>
      </c>
      <c r="AY378" t="s">
        <v>74</v>
      </c>
      <c r="AZ378" t="s">
        <v>74</v>
      </c>
      <c r="BA378" t="s">
        <v>74</v>
      </c>
      <c r="BB378">
        <v>363</v>
      </c>
      <c r="BC378">
        <v>366</v>
      </c>
      <c r="BD378" t="s">
        <v>74</v>
      </c>
      <c r="BE378" t="s">
        <v>74</v>
      </c>
      <c r="BF378" t="s">
        <v>74</v>
      </c>
      <c r="BG378" t="s">
        <v>74</v>
      </c>
      <c r="BH378" t="s">
        <v>74</v>
      </c>
      <c r="BI378">
        <v>4</v>
      </c>
      <c r="BJ378" t="s">
        <v>971</v>
      </c>
      <c r="BK378" t="s">
        <v>94</v>
      </c>
      <c r="BL378" t="s">
        <v>972</v>
      </c>
      <c r="BM378" t="s">
        <v>5748</v>
      </c>
      <c r="BN378" t="s">
        <v>74</v>
      </c>
      <c r="BO378" t="s">
        <v>74</v>
      </c>
      <c r="BP378" t="s">
        <v>74</v>
      </c>
      <c r="BQ378" t="s">
        <v>74</v>
      </c>
      <c r="BR378" t="s">
        <v>97</v>
      </c>
      <c r="BS378" t="s">
        <v>5749</v>
      </c>
      <c r="BT378" t="str">
        <f>HYPERLINK("https%3A%2F%2Fwww.webofscience.com%2Fwos%2Fwoscc%2Ffull-record%2FWOS:000186282100019","View Full Record in Web of Science")</f>
        <v>View Full Record in Web of Science</v>
      </c>
    </row>
    <row r="379" spans="1:72" x14ac:dyDescent="0.15">
      <c r="A379" t="s">
        <v>72</v>
      </c>
      <c r="B379" t="s">
        <v>5750</v>
      </c>
      <c r="C379" t="s">
        <v>74</v>
      </c>
      <c r="D379" t="s">
        <v>74</v>
      </c>
      <c r="E379" t="s">
        <v>74</v>
      </c>
      <c r="F379" t="s">
        <v>5750</v>
      </c>
      <c r="G379" t="s">
        <v>74</v>
      </c>
      <c r="H379" t="s">
        <v>74</v>
      </c>
      <c r="I379" t="s">
        <v>5751</v>
      </c>
      <c r="J379" t="s">
        <v>1033</v>
      </c>
      <c r="K379" t="s">
        <v>74</v>
      </c>
      <c r="L379" t="s">
        <v>74</v>
      </c>
      <c r="M379" t="s">
        <v>77</v>
      </c>
      <c r="N379" t="s">
        <v>78</v>
      </c>
      <c r="O379" t="s">
        <v>74</v>
      </c>
      <c r="P379" t="s">
        <v>74</v>
      </c>
      <c r="Q379" t="s">
        <v>74</v>
      </c>
      <c r="R379" t="s">
        <v>74</v>
      </c>
      <c r="S379" t="s">
        <v>74</v>
      </c>
      <c r="T379" t="s">
        <v>5752</v>
      </c>
      <c r="U379" t="s">
        <v>5753</v>
      </c>
      <c r="V379" t="s">
        <v>5754</v>
      </c>
      <c r="W379" t="s">
        <v>5755</v>
      </c>
      <c r="X379" t="s">
        <v>5756</v>
      </c>
      <c r="Y379" t="s">
        <v>5757</v>
      </c>
      <c r="Z379" t="s">
        <v>74</v>
      </c>
      <c r="AA379" t="s">
        <v>5758</v>
      </c>
      <c r="AB379" t="s">
        <v>5759</v>
      </c>
      <c r="AC379" t="s">
        <v>74</v>
      </c>
      <c r="AD379" t="s">
        <v>74</v>
      </c>
      <c r="AE379" t="s">
        <v>74</v>
      </c>
      <c r="AF379" t="s">
        <v>74</v>
      </c>
      <c r="AG379">
        <v>39</v>
      </c>
      <c r="AH379">
        <v>25</v>
      </c>
      <c r="AI379">
        <v>26</v>
      </c>
      <c r="AJ379">
        <v>0</v>
      </c>
      <c r="AK379">
        <v>30</v>
      </c>
      <c r="AL379" t="s">
        <v>110</v>
      </c>
      <c r="AM379" t="s">
        <v>111</v>
      </c>
      <c r="AN379" t="s">
        <v>112</v>
      </c>
      <c r="AO379" t="s">
        <v>1043</v>
      </c>
      <c r="AP379" t="s">
        <v>74</v>
      </c>
      <c r="AQ379" t="s">
        <v>74</v>
      </c>
      <c r="AR379" t="s">
        <v>1045</v>
      </c>
      <c r="AS379" t="s">
        <v>1046</v>
      </c>
      <c r="AT379" t="s">
        <v>5760</v>
      </c>
      <c r="AU379">
        <v>2003</v>
      </c>
      <c r="AV379">
        <v>211</v>
      </c>
      <c r="AW379" t="s">
        <v>116</v>
      </c>
      <c r="AX379" t="s">
        <v>74</v>
      </c>
      <c r="AY379" t="s">
        <v>74</v>
      </c>
      <c r="AZ379" t="s">
        <v>74</v>
      </c>
      <c r="BA379" t="s">
        <v>74</v>
      </c>
      <c r="BB379">
        <v>329</v>
      </c>
      <c r="BC379">
        <v>341</v>
      </c>
      <c r="BD379" t="s">
        <v>74</v>
      </c>
      <c r="BE379" t="s">
        <v>5761</v>
      </c>
      <c r="BF379" t="str">
        <f>HYPERLINK("http://dx.doi.org/10.1016/S0012-821X(03)00208-5","http://dx.doi.org/10.1016/S0012-821X(03)00208-5")</f>
        <v>http://dx.doi.org/10.1016/S0012-821X(03)00208-5</v>
      </c>
      <c r="BG379" t="s">
        <v>74</v>
      </c>
      <c r="BH379" t="s">
        <v>74</v>
      </c>
      <c r="BI379">
        <v>13</v>
      </c>
      <c r="BJ379" t="s">
        <v>176</v>
      </c>
      <c r="BK379" t="s">
        <v>94</v>
      </c>
      <c r="BL379" t="s">
        <v>176</v>
      </c>
      <c r="BM379" t="s">
        <v>5762</v>
      </c>
      <c r="BN379" t="s">
        <v>74</v>
      </c>
      <c r="BO379" t="s">
        <v>74</v>
      </c>
      <c r="BP379" t="s">
        <v>74</v>
      </c>
      <c r="BQ379" t="s">
        <v>74</v>
      </c>
      <c r="BR379" t="s">
        <v>97</v>
      </c>
      <c r="BS379" t="s">
        <v>5763</v>
      </c>
      <c r="BT379" t="str">
        <f>HYPERLINK("https%3A%2F%2Fwww.webofscience.com%2Fwos%2Fwoscc%2Ffull-record%2FWOS:000183792400010","View Full Record in Web of Science")</f>
        <v>View Full Record in Web of Science</v>
      </c>
    </row>
    <row r="380" spans="1:72" x14ac:dyDescent="0.15">
      <c r="A380" t="s">
        <v>72</v>
      </c>
      <c r="B380" t="s">
        <v>5764</v>
      </c>
      <c r="C380" t="s">
        <v>74</v>
      </c>
      <c r="D380" t="s">
        <v>74</v>
      </c>
      <c r="E380" t="s">
        <v>74</v>
      </c>
      <c r="F380" t="s">
        <v>5764</v>
      </c>
      <c r="G380" t="s">
        <v>74</v>
      </c>
      <c r="H380" t="s">
        <v>74</v>
      </c>
      <c r="I380" t="s">
        <v>5765</v>
      </c>
      <c r="J380" t="s">
        <v>5766</v>
      </c>
      <c r="K380" t="s">
        <v>74</v>
      </c>
      <c r="L380" t="s">
        <v>74</v>
      </c>
      <c r="M380" t="s">
        <v>77</v>
      </c>
      <c r="N380" t="s">
        <v>78</v>
      </c>
      <c r="O380" t="s">
        <v>74</v>
      </c>
      <c r="P380" t="s">
        <v>74</v>
      </c>
      <c r="Q380" t="s">
        <v>74</v>
      </c>
      <c r="R380" t="s">
        <v>74</v>
      </c>
      <c r="S380" t="s">
        <v>74</v>
      </c>
      <c r="T380" t="s">
        <v>5767</v>
      </c>
      <c r="U380" t="s">
        <v>5768</v>
      </c>
      <c r="V380" t="s">
        <v>5769</v>
      </c>
      <c r="W380" t="s">
        <v>5770</v>
      </c>
      <c r="X380" t="s">
        <v>5771</v>
      </c>
      <c r="Y380" t="s">
        <v>5772</v>
      </c>
      <c r="Z380" t="s">
        <v>5773</v>
      </c>
      <c r="AA380" t="s">
        <v>5774</v>
      </c>
      <c r="AB380" t="s">
        <v>5775</v>
      </c>
      <c r="AC380" t="s">
        <v>74</v>
      </c>
      <c r="AD380" t="s">
        <v>74</v>
      </c>
      <c r="AE380" t="s">
        <v>74</v>
      </c>
      <c r="AF380" t="s">
        <v>74</v>
      </c>
      <c r="AG380">
        <v>55</v>
      </c>
      <c r="AH380">
        <v>87</v>
      </c>
      <c r="AI380">
        <v>107</v>
      </c>
      <c r="AJ380">
        <v>1</v>
      </c>
      <c r="AK380">
        <v>39</v>
      </c>
      <c r="AL380" t="s">
        <v>250</v>
      </c>
      <c r="AM380" t="s">
        <v>251</v>
      </c>
      <c r="AN380" t="s">
        <v>252</v>
      </c>
      <c r="AO380" t="s">
        <v>5776</v>
      </c>
      <c r="AP380" t="s">
        <v>5777</v>
      </c>
      <c r="AQ380" t="s">
        <v>74</v>
      </c>
      <c r="AR380" t="s">
        <v>5778</v>
      </c>
      <c r="AS380" t="s">
        <v>5779</v>
      </c>
      <c r="AT380" t="s">
        <v>5760</v>
      </c>
      <c r="AU380">
        <v>2003</v>
      </c>
      <c r="AV380">
        <v>17</v>
      </c>
      <c r="AW380">
        <v>9</v>
      </c>
      <c r="AX380" t="s">
        <v>74</v>
      </c>
      <c r="AY380" t="s">
        <v>74</v>
      </c>
      <c r="AZ380" t="s">
        <v>74</v>
      </c>
      <c r="BA380" t="s">
        <v>74</v>
      </c>
      <c r="BB380">
        <v>1691</v>
      </c>
      <c r="BC380">
        <v>1710</v>
      </c>
      <c r="BD380" t="s">
        <v>74</v>
      </c>
      <c r="BE380" t="s">
        <v>5780</v>
      </c>
      <c r="BF380" t="str">
        <f>HYPERLINK("http://dx.doi.org/10.1002/hyp.1210","http://dx.doi.org/10.1002/hyp.1210")</f>
        <v>http://dx.doi.org/10.1002/hyp.1210</v>
      </c>
      <c r="BG380" t="s">
        <v>74</v>
      </c>
      <c r="BH380" t="s">
        <v>74</v>
      </c>
      <c r="BI380">
        <v>20</v>
      </c>
      <c r="BJ380" t="s">
        <v>5781</v>
      </c>
      <c r="BK380" t="s">
        <v>94</v>
      </c>
      <c r="BL380" t="s">
        <v>5781</v>
      </c>
      <c r="BM380" t="s">
        <v>5782</v>
      </c>
      <c r="BN380" t="s">
        <v>74</v>
      </c>
      <c r="BO380" t="s">
        <v>74</v>
      </c>
      <c r="BP380" t="s">
        <v>74</v>
      </c>
      <c r="BQ380" t="s">
        <v>74</v>
      </c>
      <c r="BR380" t="s">
        <v>97</v>
      </c>
      <c r="BS380" t="s">
        <v>5783</v>
      </c>
      <c r="BT380" t="str">
        <f>HYPERLINK("https%3A%2F%2Fwww.webofscience.com%2Fwos%2Fwoscc%2Ffull-record%2FWOS:000183964500001","View Full Record in Web of Science")</f>
        <v>View Full Record in Web of Science</v>
      </c>
    </row>
    <row r="381" spans="1:72" x14ac:dyDescent="0.15">
      <c r="A381" t="s">
        <v>72</v>
      </c>
      <c r="B381" t="s">
        <v>5784</v>
      </c>
      <c r="C381" t="s">
        <v>74</v>
      </c>
      <c r="D381" t="s">
        <v>74</v>
      </c>
      <c r="E381" t="s">
        <v>74</v>
      </c>
      <c r="F381" t="s">
        <v>5784</v>
      </c>
      <c r="G381" t="s">
        <v>74</v>
      </c>
      <c r="H381" t="s">
        <v>74</v>
      </c>
      <c r="I381" t="s">
        <v>5785</v>
      </c>
      <c r="J381" t="s">
        <v>613</v>
      </c>
      <c r="K381" t="s">
        <v>74</v>
      </c>
      <c r="L381" t="s">
        <v>74</v>
      </c>
      <c r="M381" t="s">
        <v>77</v>
      </c>
      <c r="N381" t="s">
        <v>78</v>
      </c>
      <c r="O381" t="s">
        <v>74</v>
      </c>
      <c r="P381" t="s">
        <v>74</v>
      </c>
      <c r="Q381" t="s">
        <v>74</v>
      </c>
      <c r="R381" t="s">
        <v>74</v>
      </c>
      <c r="S381" t="s">
        <v>74</v>
      </c>
      <c r="T381" t="s">
        <v>5786</v>
      </c>
      <c r="U381" t="s">
        <v>5787</v>
      </c>
      <c r="V381" t="s">
        <v>5788</v>
      </c>
      <c r="W381" t="s">
        <v>5789</v>
      </c>
      <c r="X381" t="s">
        <v>5790</v>
      </c>
      <c r="Y381" t="s">
        <v>5791</v>
      </c>
      <c r="Z381" t="s">
        <v>74</v>
      </c>
      <c r="AA381" t="s">
        <v>74</v>
      </c>
      <c r="AB381" t="s">
        <v>5792</v>
      </c>
      <c r="AC381" t="s">
        <v>74</v>
      </c>
      <c r="AD381" t="s">
        <v>74</v>
      </c>
      <c r="AE381" t="s">
        <v>74</v>
      </c>
      <c r="AF381" t="s">
        <v>74</v>
      </c>
      <c r="AG381">
        <v>38</v>
      </c>
      <c r="AH381">
        <v>26</v>
      </c>
      <c r="AI381">
        <v>28</v>
      </c>
      <c r="AJ381">
        <v>2</v>
      </c>
      <c r="AK381">
        <v>8</v>
      </c>
      <c r="AL381" t="s">
        <v>539</v>
      </c>
      <c r="AM381" t="s">
        <v>540</v>
      </c>
      <c r="AN381" t="s">
        <v>541</v>
      </c>
      <c r="AO381" t="s">
        <v>621</v>
      </c>
      <c r="AP381" t="s">
        <v>74</v>
      </c>
      <c r="AQ381" t="s">
        <v>74</v>
      </c>
      <c r="AR381" t="s">
        <v>613</v>
      </c>
      <c r="AS381" t="s">
        <v>623</v>
      </c>
      <c r="AT381" t="s">
        <v>5793</v>
      </c>
      <c r="AU381">
        <v>2003</v>
      </c>
      <c r="AV381">
        <v>18</v>
      </c>
      <c r="AW381">
        <v>2</v>
      </c>
      <c r="AX381" t="s">
        <v>74</v>
      </c>
      <c r="AY381" t="s">
        <v>74</v>
      </c>
      <c r="AZ381" t="s">
        <v>74</v>
      </c>
      <c r="BA381" t="s">
        <v>74</v>
      </c>
      <c r="BB381" t="s">
        <v>74</v>
      </c>
      <c r="BC381" t="s">
        <v>74</v>
      </c>
      <c r="BD381">
        <v>1055</v>
      </c>
      <c r="BE381" t="s">
        <v>5794</v>
      </c>
      <c r="BF381" t="str">
        <f>HYPERLINK("http://dx.doi.org/10.1029/2002PA000805","http://dx.doi.org/10.1029/2002PA000805")</f>
        <v>http://dx.doi.org/10.1029/2002PA000805</v>
      </c>
      <c r="BG381" t="s">
        <v>74</v>
      </c>
      <c r="BH381" t="s">
        <v>74</v>
      </c>
      <c r="BI381">
        <v>9</v>
      </c>
      <c r="BJ381" t="s">
        <v>625</v>
      </c>
      <c r="BK381" t="s">
        <v>94</v>
      </c>
      <c r="BL381" t="s">
        <v>626</v>
      </c>
      <c r="BM381" t="s">
        <v>5795</v>
      </c>
      <c r="BN381" t="s">
        <v>74</v>
      </c>
      <c r="BO381" t="s">
        <v>141</v>
      </c>
      <c r="BP381" t="s">
        <v>74</v>
      </c>
      <c r="BQ381" t="s">
        <v>74</v>
      </c>
      <c r="BR381" t="s">
        <v>97</v>
      </c>
      <c r="BS381" t="s">
        <v>5796</v>
      </c>
      <c r="BT381" t="str">
        <f>HYPERLINK("https%3A%2F%2Fwww.webofscience.com%2Fwos%2Fwoscc%2Ffull-record%2FWOS:000184595200001","View Full Record in Web of Science")</f>
        <v>View Full Record in Web of Science</v>
      </c>
    </row>
    <row r="382" spans="1:72" x14ac:dyDescent="0.15">
      <c r="A382" t="s">
        <v>72</v>
      </c>
      <c r="B382" t="s">
        <v>5797</v>
      </c>
      <c r="C382" t="s">
        <v>74</v>
      </c>
      <c r="D382" t="s">
        <v>74</v>
      </c>
      <c r="E382" t="s">
        <v>74</v>
      </c>
      <c r="F382" t="s">
        <v>5797</v>
      </c>
      <c r="G382" t="s">
        <v>74</v>
      </c>
      <c r="H382" t="s">
        <v>74</v>
      </c>
      <c r="I382" t="s">
        <v>5798</v>
      </c>
      <c r="J382" t="s">
        <v>578</v>
      </c>
      <c r="K382" t="s">
        <v>74</v>
      </c>
      <c r="L382" t="s">
        <v>74</v>
      </c>
      <c r="M382" t="s">
        <v>77</v>
      </c>
      <c r="N382" t="s">
        <v>78</v>
      </c>
      <c r="O382" t="s">
        <v>74</v>
      </c>
      <c r="P382" t="s">
        <v>74</v>
      </c>
      <c r="Q382" t="s">
        <v>74</v>
      </c>
      <c r="R382" t="s">
        <v>74</v>
      </c>
      <c r="S382" t="s">
        <v>74</v>
      </c>
      <c r="T382" t="s">
        <v>5799</v>
      </c>
      <c r="U382" t="s">
        <v>5800</v>
      </c>
      <c r="V382" t="s">
        <v>5801</v>
      </c>
      <c r="W382" t="s">
        <v>5802</v>
      </c>
      <c r="X382" t="s">
        <v>5803</v>
      </c>
      <c r="Y382" t="s">
        <v>5804</v>
      </c>
      <c r="Z382" t="s">
        <v>5805</v>
      </c>
      <c r="AA382" t="s">
        <v>5806</v>
      </c>
      <c r="AB382" t="s">
        <v>74</v>
      </c>
      <c r="AC382" t="s">
        <v>74</v>
      </c>
      <c r="AD382" t="s">
        <v>74</v>
      </c>
      <c r="AE382" t="s">
        <v>74</v>
      </c>
      <c r="AF382" t="s">
        <v>74</v>
      </c>
      <c r="AG382">
        <v>52</v>
      </c>
      <c r="AH382">
        <v>45</v>
      </c>
      <c r="AI382">
        <v>47</v>
      </c>
      <c r="AJ382">
        <v>1</v>
      </c>
      <c r="AK382">
        <v>15</v>
      </c>
      <c r="AL382" t="s">
        <v>539</v>
      </c>
      <c r="AM382" t="s">
        <v>540</v>
      </c>
      <c r="AN382" t="s">
        <v>541</v>
      </c>
      <c r="AO382" t="s">
        <v>588</v>
      </c>
      <c r="AP382" t="s">
        <v>605</v>
      </c>
      <c r="AQ382" t="s">
        <v>74</v>
      </c>
      <c r="AR382" t="s">
        <v>589</v>
      </c>
      <c r="AS382" t="s">
        <v>590</v>
      </c>
      <c r="AT382" t="s">
        <v>5807</v>
      </c>
      <c r="AU382">
        <v>2003</v>
      </c>
      <c r="AV382">
        <v>108</v>
      </c>
      <c r="AW382" t="s">
        <v>5808</v>
      </c>
      <c r="AX382" t="s">
        <v>74</v>
      </c>
      <c r="AY382" t="s">
        <v>74</v>
      </c>
      <c r="AZ382" t="s">
        <v>74</v>
      </c>
      <c r="BA382" t="s">
        <v>74</v>
      </c>
      <c r="BB382" t="s">
        <v>74</v>
      </c>
      <c r="BC382" t="s">
        <v>74</v>
      </c>
      <c r="BD382">
        <v>4366</v>
      </c>
      <c r="BE382" t="s">
        <v>5809</v>
      </c>
      <c r="BF382" t="str">
        <f>HYPERLINK("http://dx.doi.org/10.1029/2002JD002772","http://dx.doi.org/10.1029/2002JD002772")</f>
        <v>http://dx.doi.org/10.1029/2002JD002772</v>
      </c>
      <c r="BG382" t="s">
        <v>74</v>
      </c>
      <c r="BH382" t="s">
        <v>74</v>
      </c>
      <c r="BI382">
        <v>17</v>
      </c>
      <c r="BJ382" t="s">
        <v>93</v>
      </c>
      <c r="BK382" t="s">
        <v>94</v>
      </c>
      <c r="BL382" t="s">
        <v>93</v>
      </c>
      <c r="BM382" t="s">
        <v>5810</v>
      </c>
      <c r="BN382" t="s">
        <v>74</v>
      </c>
      <c r="BO382" t="s">
        <v>74</v>
      </c>
      <c r="BP382" t="s">
        <v>74</v>
      </c>
      <c r="BQ382" t="s">
        <v>74</v>
      </c>
      <c r="BR382" t="s">
        <v>97</v>
      </c>
      <c r="BS382" t="s">
        <v>5811</v>
      </c>
      <c r="BT382" t="str">
        <f>HYPERLINK("https%3A%2F%2Fwww.webofscience.com%2Fwos%2Fwoscc%2Ffull-record%2FWOS:000184578400002","View Full Record in Web of Science")</f>
        <v>View Full Record in Web of Science</v>
      </c>
    </row>
    <row r="383" spans="1:72" x14ac:dyDescent="0.15">
      <c r="A383" t="s">
        <v>72</v>
      </c>
      <c r="B383" t="s">
        <v>5812</v>
      </c>
      <c r="C383" t="s">
        <v>74</v>
      </c>
      <c r="D383" t="s">
        <v>74</v>
      </c>
      <c r="E383" t="s">
        <v>74</v>
      </c>
      <c r="F383" t="s">
        <v>5812</v>
      </c>
      <c r="G383" t="s">
        <v>74</v>
      </c>
      <c r="H383" t="s">
        <v>74</v>
      </c>
      <c r="I383" t="s">
        <v>5813</v>
      </c>
      <c r="J383" t="s">
        <v>4208</v>
      </c>
      <c r="K383" t="s">
        <v>74</v>
      </c>
      <c r="L383" t="s">
        <v>74</v>
      </c>
      <c r="M383" t="s">
        <v>77</v>
      </c>
      <c r="N383" t="s">
        <v>78</v>
      </c>
      <c r="O383" t="s">
        <v>74</v>
      </c>
      <c r="P383" t="s">
        <v>74</v>
      </c>
      <c r="Q383" t="s">
        <v>74</v>
      </c>
      <c r="R383" t="s">
        <v>74</v>
      </c>
      <c r="S383" t="s">
        <v>74</v>
      </c>
      <c r="T383" t="s">
        <v>5814</v>
      </c>
      <c r="U383" t="s">
        <v>5815</v>
      </c>
      <c r="V383" t="s">
        <v>5816</v>
      </c>
      <c r="W383" t="s">
        <v>5817</v>
      </c>
      <c r="X383" t="s">
        <v>5818</v>
      </c>
      <c r="Y383" t="s">
        <v>5819</v>
      </c>
      <c r="Z383" t="s">
        <v>5820</v>
      </c>
      <c r="AA383" t="s">
        <v>5821</v>
      </c>
      <c r="AB383" t="s">
        <v>2596</v>
      </c>
      <c r="AC383" t="s">
        <v>74</v>
      </c>
      <c r="AD383" t="s">
        <v>74</v>
      </c>
      <c r="AE383" t="s">
        <v>74</v>
      </c>
      <c r="AF383" t="s">
        <v>74</v>
      </c>
      <c r="AG383">
        <v>61</v>
      </c>
      <c r="AH383">
        <v>374</v>
      </c>
      <c r="AI383">
        <v>391</v>
      </c>
      <c r="AJ383">
        <v>0</v>
      </c>
      <c r="AK383">
        <v>15</v>
      </c>
      <c r="AL383" t="s">
        <v>539</v>
      </c>
      <c r="AM383" t="s">
        <v>540</v>
      </c>
      <c r="AN383" t="s">
        <v>541</v>
      </c>
      <c r="AO383" t="s">
        <v>4218</v>
      </c>
      <c r="AP383" t="s">
        <v>4219</v>
      </c>
      <c r="AQ383" t="s">
        <v>74</v>
      </c>
      <c r="AR383" t="s">
        <v>4220</v>
      </c>
      <c r="AS383" t="s">
        <v>4221</v>
      </c>
      <c r="AT383" t="s">
        <v>5807</v>
      </c>
      <c r="AU383">
        <v>2003</v>
      </c>
      <c r="AV383">
        <v>108</v>
      </c>
      <c r="AW383" t="s">
        <v>5822</v>
      </c>
      <c r="AX383" t="s">
        <v>74</v>
      </c>
      <c r="AY383" t="s">
        <v>74</v>
      </c>
      <c r="AZ383" t="s">
        <v>74</v>
      </c>
      <c r="BA383" t="s">
        <v>74</v>
      </c>
      <c r="BB383" t="s">
        <v>74</v>
      </c>
      <c r="BC383" t="s">
        <v>74</v>
      </c>
      <c r="BD383">
        <v>1250</v>
      </c>
      <c r="BE383" t="s">
        <v>5823</v>
      </c>
      <c r="BF383" t="str">
        <f>HYPERLINK("http://dx.doi.org/10.1029/2002JA009700","http://dx.doi.org/10.1029/2002JA009700")</f>
        <v>http://dx.doi.org/10.1029/2002JA009700</v>
      </c>
      <c r="BG383" t="s">
        <v>74</v>
      </c>
      <c r="BH383" t="s">
        <v>74</v>
      </c>
      <c r="BI383">
        <v>14</v>
      </c>
      <c r="BJ383" t="s">
        <v>1333</v>
      </c>
      <c r="BK383" t="s">
        <v>94</v>
      </c>
      <c r="BL383" t="s">
        <v>1333</v>
      </c>
      <c r="BM383" t="s">
        <v>5824</v>
      </c>
      <c r="BN383" t="s">
        <v>74</v>
      </c>
      <c r="BO383" t="s">
        <v>974</v>
      </c>
      <c r="BP383" t="s">
        <v>74</v>
      </c>
      <c r="BQ383" t="s">
        <v>74</v>
      </c>
      <c r="BR383" t="s">
        <v>97</v>
      </c>
      <c r="BS383" t="s">
        <v>5825</v>
      </c>
      <c r="BT383" t="str">
        <f>HYPERLINK("https%3A%2F%2Fwww.webofscience.com%2Fwos%2Fwoscc%2Ffull-record%2FWOS:000184593000005","View Full Record in Web of Science")</f>
        <v>View Full Record in Web of Science</v>
      </c>
    </row>
    <row r="384" spans="1:72" x14ac:dyDescent="0.15">
      <c r="A384" t="s">
        <v>72</v>
      </c>
      <c r="B384" t="s">
        <v>5826</v>
      </c>
      <c r="C384" t="s">
        <v>74</v>
      </c>
      <c r="D384" t="s">
        <v>74</v>
      </c>
      <c r="E384" t="s">
        <v>74</v>
      </c>
      <c r="F384" t="s">
        <v>5826</v>
      </c>
      <c r="G384" t="s">
        <v>74</v>
      </c>
      <c r="H384" t="s">
        <v>74</v>
      </c>
      <c r="I384" t="s">
        <v>5827</v>
      </c>
      <c r="J384" t="s">
        <v>530</v>
      </c>
      <c r="K384" t="s">
        <v>74</v>
      </c>
      <c r="L384" t="s">
        <v>74</v>
      </c>
      <c r="M384" t="s">
        <v>77</v>
      </c>
      <c r="N384" t="s">
        <v>78</v>
      </c>
      <c r="O384" t="s">
        <v>74</v>
      </c>
      <c r="P384" t="s">
        <v>74</v>
      </c>
      <c r="Q384" t="s">
        <v>74</v>
      </c>
      <c r="R384" t="s">
        <v>74</v>
      </c>
      <c r="S384" t="s">
        <v>74</v>
      </c>
      <c r="T384" t="s">
        <v>74</v>
      </c>
      <c r="U384" t="s">
        <v>5828</v>
      </c>
      <c r="V384" t="s">
        <v>5829</v>
      </c>
      <c r="W384" t="s">
        <v>5830</v>
      </c>
      <c r="X384" t="s">
        <v>5831</v>
      </c>
      <c r="Y384" t="s">
        <v>5832</v>
      </c>
      <c r="Z384" t="s">
        <v>5833</v>
      </c>
      <c r="AA384" t="s">
        <v>5834</v>
      </c>
      <c r="AB384" t="s">
        <v>5835</v>
      </c>
      <c r="AC384" t="s">
        <v>74</v>
      </c>
      <c r="AD384" t="s">
        <v>74</v>
      </c>
      <c r="AE384" t="s">
        <v>74</v>
      </c>
      <c r="AF384" t="s">
        <v>74</v>
      </c>
      <c r="AG384">
        <v>16</v>
      </c>
      <c r="AH384">
        <v>197</v>
      </c>
      <c r="AI384">
        <v>251</v>
      </c>
      <c r="AJ384">
        <v>3</v>
      </c>
      <c r="AK384">
        <v>37</v>
      </c>
      <c r="AL384" t="s">
        <v>539</v>
      </c>
      <c r="AM384" t="s">
        <v>540</v>
      </c>
      <c r="AN384" t="s">
        <v>541</v>
      </c>
      <c r="AO384" t="s">
        <v>542</v>
      </c>
      <c r="AP384" t="s">
        <v>543</v>
      </c>
      <c r="AQ384" t="s">
        <v>74</v>
      </c>
      <c r="AR384" t="s">
        <v>544</v>
      </c>
      <c r="AS384" t="s">
        <v>545</v>
      </c>
      <c r="AT384" t="s">
        <v>5836</v>
      </c>
      <c r="AU384">
        <v>2003</v>
      </c>
      <c r="AV384">
        <v>30</v>
      </c>
      <c r="AW384">
        <v>12</v>
      </c>
      <c r="AX384" t="s">
        <v>74</v>
      </c>
      <c r="AY384" t="s">
        <v>74</v>
      </c>
      <c r="AZ384" t="s">
        <v>74</v>
      </c>
      <c r="BA384" t="s">
        <v>74</v>
      </c>
      <c r="BB384" t="s">
        <v>74</v>
      </c>
      <c r="BC384" t="s">
        <v>74</v>
      </c>
      <c r="BD384">
        <v>1632</v>
      </c>
      <c r="BE384" t="s">
        <v>5837</v>
      </c>
      <c r="BF384" t="str">
        <f>HYPERLINK("http://dx.doi.org/10.1029/2003GL017441","http://dx.doi.org/10.1029/2003GL017441")</f>
        <v>http://dx.doi.org/10.1029/2003GL017441</v>
      </c>
      <c r="BG384" t="s">
        <v>74</v>
      </c>
      <c r="BH384" t="s">
        <v>74</v>
      </c>
      <c r="BI384">
        <v>4</v>
      </c>
      <c r="BJ384" t="s">
        <v>548</v>
      </c>
      <c r="BK384" t="s">
        <v>94</v>
      </c>
      <c r="BL384" t="s">
        <v>549</v>
      </c>
      <c r="BM384" t="s">
        <v>5838</v>
      </c>
      <c r="BN384" t="s">
        <v>74</v>
      </c>
      <c r="BO384" t="s">
        <v>96</v>
      </c>
      <c r="BP384" t="s">
        <v>74</v>
      </c>
      <c r="BQ384" t="s">
        <v>74</v>
      </c>
      <c r="BR384" t="s">
        <v>97</v>
      </c>
      <c r="BS384" t="s">
        <v>5839</v>
      </c>
      <c r="BT384" t="str">
        <f>HYPERLINK("https%3A%2F%2Fwww.webofscience.com%2Fwos%2Fwoscc%2Ffull-record%2FWOS:000183999500004","View Full Record in Web of Science")</f>
        <v>View Full Record in Web of Science</v>
      </c>
    </row>
    <row r="385" spans="1:72" x14ac:dyDescent="0.15">
      <c r="A385" t="s">
        <v>72</v>
      </c>
      <c r="B385" t="s">
        <v>5840</v>
      </c>
      <c r="C385" t="s">
        <v>74</v>
      </c>
      <c r="D385" t="s">
        <v>74</v>
      </c>
      <c r="E385" t="s">
        <v>74</v>
      </c>
      <c r="F385" t="s">
        <v>5840</v>
      </c>
      <c r="G385" t="s">
        <v>74</v>
      </c>
      <c r="H385" t="s">
        <v>74</v>
      </c>
      <c r="I385" t="s">
        <v>5841</v>
      </c>
      <c r="J385" t="s">
        <v>578</v>
      </c>
      <c r="K385" t="s">
        <v>74</v>
      </c>
      <c r="L385" t="s">
        <v>74</v>
      </c>
      <c r="M385" t="s">
        <v>77</v>
      </c>
      <c r="N385" t="s">
        <v>78</v>
      </c>
      <c r="O385" t="s">
        <v>74</v>
      </c>
      <c r="P385" t="s">
        <v>74</v>
      </c>
      <c r="Q385" t="s">
        <v>74</v>
      </c>
      <c r="R385" t="s">
        <v>74</v>
      </c>
      <c r="S385" t="s">
        <v>74</v>
      </c>
      <c r="T385" t="s">
        <v>5842</v>
      </c>
      <c r="U385" t="s">
        <v>5843</v>
      </c>
      <c r="V385" t="s">
        <v>5844</v>
      </c>
      <c r="W385" t="s">
        <v>5845</v>
      </c>
      <c r="X385" t="s">
        <v>5846</v>
      </c>
      <c r="Y385" t="s">
        <v>5847</v>
      </c>
      <c r="Z385" t="s">
        <v>5848</v>
      </c>
      <c r="AA385" t="s">
        <v>5849</v>
      </c>
      <c r="AB385" t="s">
        <v>5850</v>
      </c>
      <c r="AC385" t="s">
        <v>74</v>
      </c>
      <c r="AD385" t="s">
        <v>74</v>
      </c>
      <c r="AE385" t="s">
        <v>74</v>
      </c>
      <c r="AF385" t="s">
        <v>74</v>
      </c>
      <c r="AG385">
        <v>56</v>
      </c>
      <c r="AH385">
        <v>198</v>
      </c>
      <c r="AI385">
        <v>218</v>
      </c>
      <c r="AJ385">
        <v>5</v>
      </c>
      <c r="AK385">
        <v>51</v>
      </c>
      <c r="AL385" t="s">
        <v>539</v>
      </c>
      <c r="AM385" t="s">
        <v>540</v>
      </c>
      <c r="AN385" t="s">
        <v>541</v>
      </c>
      <c r="AO385" t="s">
        <v>588</v>
      </c>
      <c r="AP385" t="s">
        <v>605</v>
      </c>
      <c r="AQ385" t="s">
        <v>74</v>
      </c>
      <c r="AR385" t="s">
        <v>589</v>
      </c>
      <c r="AS385" t="s">
        <v>590</v>
      </c>
      <c r="AT385" t="s">
        <v>5836</v>
      </c>
      <c r="AU385">
        <v>2003</v>
      </c>
      <c r="AV385">
        <v>108</v>
      </c>
      <c r="AW385" t="s">
        <v>5808</v>
      </c>
      <c r="AX385" t="s">
        <v>74</v>
      </c>
      <c r="AY385" t="s">
        <v>74</v>
      </c>
      <c r="AZ385" t="s">
        <v>74</v>
      </c>
      <c r="BA385" t="s">
        <v>74</v>
      </c>
      <c r="BB385" t="s">
        <v>74</v>
      </c>
      <c r="BC385" t="s">
        <v>74</v>
      </c>
      <c r="BD385">
        <v>4361</v>
      </c>
      <c r="BE385" t="s">
        <v>5851</v>
      </c>
      <c r="BF385" t="str">
        <f>HYPERLINK("http://dx.doi.org/10.1029/2002JD002677","http://dx.doi.org/10.1029/2002JD002677")</f>
        <v>http://dx.doi.org/10.1029/2002JD002677</v>
      </c>
      <c r="BG385" t="s">
        <v>74</v>
      </c>
      <c r="BH385" t="s">
        <v>74</v>
      </c>
      <c r="BI385">
        <v>12</v>
      </c>
      <c r="BJ385" t="s">
        <v>93</v>
      </c>
      <c r="BK385" t="s">
        <v>94</v>
      </c>
      <c r="BL385" t="s">
        <v>93</v>
      </c>
      <c r="BM385" t="s">
        <v>5852</v>
      </c>
      <c r="BN385" t="s">
        <v>74</v>
      </c>
      <c r="BO385" t="s">
        <v>154</v>
      </c>
      <c r="BP385" t="s">
        <v>74</v>
      </c>
      <c r="BQ385" t="s">
        <v>74</v>
      </c>
      <c r="BR385" t="s">
        <v>97</v>
      </c>
      <c r="BS385" t="s">
        <v>5853</v>
      </c>
      <c r="BT385" t="str">
        <f>HYPERLINK("https%3A%2F%2Fwww.webofscience.com%2Fwos%2Fwoscc%2Ffull-record%2FWOS:000183999700002","View Full Record in Web of Science")</f>
        <v>View Full Record in Web of Science</v>
      </c>
    </row>
    <row r="386" spans="1:72" x14ac:dyDescent="0.15">
      <c r="A386" t="s">
        <v>72</v>
      </c>
      <c r="B386" t="s">
        <v>5854</v>
      </c>
      <c r="C386" t="s">
        <v>74</v>
      </c>
      <c r="D386" t="s">
        <v>74</v>
      </c>
      <c r="E386" t="s">
        <v>74</v>
      </c>
      <c r="F386" t="s">
        <v>5854</v>
      </c>
      <c r="G386" t="s">
        <v>74</v>
      </c>
      <c r="H386" t="s">
        <v>74</v>
      </c>
      <c r="I386" t="s">
        <v>5855</v>
      </c>
      <c r="J386" t="s">
        <v>5856</v>
      </c>
      <c r="K386" t="s">
        <v>74</v>
      </c>
      <c r="L386" t="s">
        <v>74</v>
      </c>
      <c r="M386" t="s">
        <v>77</v>
      </c>
      <c r="N386" t="s">
        <v>78</v>
      </c>
      <c r="O386" t="s">
        <v>74</v>
      </c>
      <c r="P386" t="s">
        <v>74</v>
      </c>
      <c r="Q386" t="s">
        <v>74</v>
      </c>
      <c r="R386" t="s">
        <v>74</v>
      </c>
      <c r="S386" t="s">
        <v>74</v>
      </c>
      <c r="T386" t="s">
        <v>5857</v>
      </c>
      <c r="U386" t="s">
        <v>5858</v>
      </c>
      <c r="V386" t="s">
        <v>5859</v>
      </c>
      <c r="W386" t="s">
        <v>5860</v>
      </c>
      <c r="X386" t="s">
        <v>5861</v>
      </c>
      <c r="Y386" t="s">
        <v>5862</v>
      </c>
      <c r="Z386" t="s">
        <v>5863</v>
      </c>
      <c r="AA386" t="s">
        <v>5864</v>
      </c>
      <c r="AB386" t="s">
        <v>5865</v>
      </c>
      <c r="AC386" t="s">
        <v>74</v>
      </c>
      <c r="AD386" t="s">
        <v>74</v>
      </c>
      <c r="AE386" t="s">
        <v>74</v>
      </c>
      <c r="AF386" t="s">
        <v>74</v>
      </c>
      <c r="AG386">
        <v>59</v>
      </c>
      <c r="AH386">
        <v>127</v>
      </c>
      <c r="AI386">
        <v>143</v>
      </c>
      <c r="AJ386">
        <v>0</v>
      </c>
      <c r="AK386">
        <v>33</v>
      </c>
      <c r="AL386" t="s">
        <v>963</v>
      </c>
      <c r="AM386" t="s">
        <v>964</v>
      </c>
      <c r="AN386" t="s">
        <v>965</v>
      </c>
      <c r="AO386" t="s">
        <v>5866</v>
      </c>
      <c r="AP386" t="s">
        <v>74</v>
      </c>
      <c r="AQ386" t="s">
        <v>74</v>
      </c>
      <c r="AR386" t="s">
        <v>5867</v>
      </c>
      <c r="AS386" t="s">
        <v>5868</v>
      </c>
      <c r="AT386" t="s">
        <v>5869</v>
      </c>
      <c r="AU386">
        <v>2003</v>
      </c>
      <c r="AV386">
        <v>270</v>
      </c>
      <c r="AW386">
        <v>1521</v>
      </c>
      <c r="AX386" t="s">
        <v>74</v>
      </c>
      <c r="AY386" t="s">
        <v>74</v>
      </c>
      <c r="AZ386" t="s">
        <v>74</v>
      </c>
      <c r="BA386" t="s">
        <v>74</v>
      </c>
      <c r="BB386">
        <v>1283</v>
      </c>
      <c r="BC386">
        <v>1292</v>
      </c>
      <c r="BD386" t="s">
        <v>74</v>
      </c>
      <c r="BE386" t="s">
        <v>5870</v>
      </c>
      <c r="BF386" t="str">
        <f>HYPERLINK("http://dx.doi.org/10.1098/rspb.2003.2371","http://dx.doi.org/10.1098/rspb.2003.2371")</f>
        <v>http://dx.doi.org/10.1098/rspb.2003.2371</v>
      </c>
      <c r="BG386" t="s">
        <v>74</v>
      </c>
      <c r="BH386" t="s">
        <v>74</v>
      </c>
      <c r="BI386">
        <v>10</v>
      </c>
      <c r="BJ386" t="s">
        <v>5871</v>
      </c>
      <c r="BK386" t="s">
        <v>94</v>
      </c>
      <c r="BL386" t="s">
        <v>5872</v>
      </c>
      <c r="BM386" t="s">
        <v>5873</v>
      </c>
      <c r="BN386">
        <v>12816642</v>
      </c>
      <c r="BO386" t="s">
        <v>5874</v>
      </c>
      <c r="BP386" t="s">
        <v>74</v>
      </c>
      <c r="BQ386" t="s">
        <v>74</v>
      </c>
      <c r="BR386" t="s">
        <v>97</v>
      </c>
      <c r="BS386" t="s">
        <v>5875</v>
      </c>
      <c r="BT386" t="str">
        <f>HYPERLINK("https%3A%2F%2Fwww.webofscience.com%2Fwos%2Fwoscc%2Ffull-record%2FWOS:000183695500009","View Full Record in Web of Science")</f>
        <v>View Full Record in Web of Science</v>
      </c>
    </row>
    <row r="387" spans="1:72" x14ac:dyDescent="0.15">
      <c r="A387" t="s">
        <v>72</v>
      </c>
      <c r="B387" t="s">
        <v>5876</v>
      </c>
      <c r="C387" t="s">
        <v>74</v>
      </c>
      <c r="D387" t="s">
        <v>74</v>
      </c>
      <c r="E387" t="s">
        <v>74</v>
      </c>
      <c r="F387" t="s">
        <v>5876</v>
      </c>
      <c r="G387" t="s">
        <v>74</v>
      </c>
      <c r="H387" t="s">
        <v>74</v>
      </c>
      <c r="I387" t="s">
        <v>5877</v>
      </c>
      <c r="J387" t="s">
        <v>665</v>
      </c>
      <c r="K387" t="s">
        <v>74</v>
      </c>
      <c r="L387" t="s">
        <v>74</v>
      </c>
      <c r="M387" t="s">
        <v>77</v>
      </c>
      <c r="N387" t="s">
        <v>78</v>
      </c>
      <c r="O387" t="s">
        <v>74</v>
      </c>
      <c r="P387" t="s">
        <v>74</v>
      </c>
      <c r="Q387" t="s">
        <v>74</v>
      </c>
      <c r="R387" t="s">
        <v>74</v>
      </c>
      <c r="S387" t="s">
        <v>74</v>
      </c>
      <c r="T387" t="s">
        <v>5878</v>
      </c>
      <c r="U387" t="s">
        <v>5879</v>
      </c>
      <c r="V387" t="s">
        <v>5880</v>
      </c>
      <c r="W387" t="s">
        <v>5881</v>
      </c>
      <c r="X387" t="s">
        <v>5882</v>
      </c>
      <c r="Y387" t="s">
        <v>5883</v>
      </c>
      <c r="Z387" t="s">
        <v>5884</v>
      </c>
      <c r="AA387" t="s">
        <v>74</v>
      </c>
      <c r="AB387" t="s">
        <v>5885</v>
      </c>
      <c r="AC387" t="s">
        <v>74</v>
      </c>
      <c r="AD387" t="s">
        <v>74</v>
      </c>
      <c r="AE387" t="s">
        <v>74</v>
      </c>
      <c r="AF387" t="s">
        <v>74</v>
      </c>
      <c r="AG387">
        <v>34</v>
      </c>
      <c r="AH387">
        <v>17</v>
      </c>
      <c r="AI387">
        <v>22</v>
      </c>
      <c r="AJ387">
        <v>0</v>
      </c>
      <c r="AK387">
        <v>5</v>
      </c>
      <c r="AL387" t="s">
        <v>539</v>
      </c>
      <c r="AM387" t="s">
        <v>540</v>
      </c>
      <c r="AN387" t="s">
        <v>541</v>
      </c>
      <c r="AO387" t="s">
        <v>672</v>
      </c>
      <c r="AP387" t="s">
        <v>673</v>
      </c>
      <c r="AQ387" t="s">
        <v>74</v>
      </c>
      <c r="AR387" t="s">
        <v>674</v>
      </c>
      <c r="AS387" t="s">
        <v>675</v>
      </c>
      <c r="AT387" t="s">
        <v>5886</v>
      </c>
      <c r="AU387">
        <v>2003</v>
      </c>
      <c r="AV387">
        <v>108</v>
      </c>
      <c r="AW387" t="s">
        <v>5887</v>
      </c>
      <c r="AX387" t="s">
        <v>74</v>
      </c>
      <c r="AY387" t="s">
        <v>74</v>
      </c>
      <c r="AZ387" t="s">
        <v>74</v>
      </c>
      <c r="BA387" t="s">
        <v>74</v>
      </c>
      <c r="BB387" t="s">
        <v>74</v>
      </c>
      <c r="BC387" t="s">
        <v>74</v>
      </c>
      <c r="BD387">
        <v>3198</v>
      </c>
      <c r="BE387" t="s">
        <v>5888</v>
      </c>
      <c r="BF387" t="str">
        <f>HYPERLINK("http://dx.doi.org/10.1029/2001JC001152","http://dx.doi.org/10.1029/2001JC001152")</f>
        <v>http://dx.doi.org/10.1029/2001JC001152</v>
      </c>
      <c r="BG387" t="s">
        <v>74</v>
      </c>
      <c r="BH387" t="s">
        <v>74</v>
      </c>
      <c r="BI387">
        <v>9</v>
      </c>
      <c r="BJ387" t="s">
        <v>678</v>
      </c>
      <c r="BK387" t="s">
        <v>94</v>
      </c>
      <c r="BL387" t="s">
        <v>678</v>
      </c>
      <c r="BM387" t="s">
        <v>5889</v>
      </c>
      <c r="BN387" t="s">
        <v>74</v>
      </c>
      <c r="BO387" t="s">
        <v>96</v>
      </c>
      <c r="BP387" t="s">
        <v>74</v>
      </c>
      <c r="BQ387" t="s">
        <v>74</v>
      </c>
      <c r="BR387" t="s">
        <v>97</v>
      </c>
      <c r="BS387" t="s">
        <v>5890</v>
      </c>
      <c r="BT387" t="str">
        <f>HYPERLINK("https%3A%2F%2Fwww.webofscience.com%2Fwos%2Fwoscc%2Ffull-record%2FWOS:000183750500001","View Full Record in Web of Science")</f>
        <v>View Full Record in Web of Science</v>
      </c>
    </row>
    <row r="388" spans="1:72" x14ac:dyDescent="0.15">
      <c r="A388" t="s">
        <v>72</v>
      </c>
      <c r="B388" t="s">
        <v>5891</v>
      </c>
      <c r="C388" t="s">
        <v>74</v>
      </c>
      <c r="D388" t="s">
        <v>74</v>
      </c>
      <c r="E388" t="s">
        <v>74</v>
      </c>
      <c r="F388" t="s">
        <v>5891</v>
      </c>
      <c r="G388" t="s">
        <v>74</v>
      </c>
      <c r="H388" t="s">
        <v>74</v>
      </c>
      <c r="I388" t="s">
        <v>5892</v>
      </c>
      <c r="J388" t="s">
        <v>4208</v>
      </c>
      <c r="K388" t="s">
        <v>74</v>
      </c>
      <c r="L388" t="s">
        <v>74</v>
      </c>
      <c r="M388" t="s">
        <v>77</v>
      </c>
      <c r="N388" t="s">
        <v>78</v>
      </c>
      <c r="O388" t="s">
        <v>74</v>
      </c>
      <c r="P388" t="s">
        <v>74</v>
      </c>
      <c r="Q388" t="s">
        <v>74</v>
      </c>
      <c r="R388" t="s">
        <v>74</v>
      </c>
      <c r="S388" t="s">
        <v>74</v>
      </c>
      <c r="T388" t="s">
        <v>5893</v>
      </c>
      <c r="U388" t="s">
        <v>5894</v>
      </c>
      <c r="V388" t="s">
        <v>5895</v>
      </c>
      <c r="W388" t="s">
        <v>5896</v>
      </c>
      <c r="X388" t="s">
        <v>5897</v>
      </c>
      <c r="Y388" t="s">
        <v>5819</v>
      </c>
      <c r="Z388" t="s">
        <v>5898</v>
      </c>
      <c r="AA388" t="s">
        <v>5899</v>
      </c>
      <c r="AB388" t="s">
        <v>5900</v>
      </c>
      <c r="AC388" t="s">
        <v>74</v>
      </c>
      <c r="AD388" t="s">
        <v>74</v>
      </c>
      <c r="AE388" t="s">
        <v>74</v>
      </c>
      <c r="AF388" t="s">
        <v>74</v>
      </c>
      <c r="AG388">
        <v>48</v>
      </c>
      <c r="AH388">
        <v>228</v>
      </c>
      <c r="AI388">
        <v>242</v>
      </c>
      <c r="AJ388">
        <v>1</v>
      </c>
      <c r="AK388">
        <v>6</v>
      </c>
      <c r="AL388" t="s">
        <v>539</v>
      </c>
      <c r="AM388" t="s">
        <v>540</v>
      </c>
      <c r="AN388" t="s">
        <v>541</v>
      </c>
      <c r="AO388" t="s">
        <v>4218</v>
      </c>
      <c r="AP388" t="s">
        <v>4219</v>
      </c>
      <c r="AQ388" t="s">
        <v>74</v>
      </c>
      <c r="AR388" t="s">
        <v>4220</v>
      </c>
      <c r="AS388" t="s">
        <v>4221</v>
      </c>
      <c r="AT388" t="s">
        <v>5886</v>
      </c>
      <c r="AU388">
        <v>2003</v>
      </c>
      <c r="AV388">
        <v>108</v>
      </c>
      <c r="AW388" t="s">
        <v>5822</v>
      </c>
      <c r="AX388" t="s">
        <v>74</v>
      </c>
      <c r="AY388" t="s">
        <v>74</v>
      </c>
      <c r="AZ388" t="s">
        <v>74</v>
      </c>
      <c r="BA388" t="s">
        <v>74</v>
      </c>
      <c r="BB388" t="s">
        <v>74</v>
      </c>
      <c r="BC388" t="s">
        <v>74</v>
      </c>
      <c r="BD388">
        <v>1248</v>
      </c>
      <c r="BE388" t="s">
        <v>5901</v>
      </c>
      <c r="BF388" t="str">
        <f>HYPERLINK("http://dx.doi.org/10.1029/2002JA009764","http://dx.doi.org/10.1029/2002JA009764")</f>
        <v>http://dx.doi.org/10.1029/2002JA009764</v>
      </c>
      <c r="BG388" t="s">
        <v>74</v>
      </c>
      <c r="BH388" t="s">
        <v>74</v>
      </c>
      <c r="BI388">
        <v>14</v>
      </c>
      <c r="BJ388" t="s">
        <v>1333</v>
      </c>
      <c r="BK388" t="s">
        <v>94</v>
      </c>
      <c r="BL388" t="s">
        <v>1333</v>
      </c>
      <c r="BM388" t="s">
        <v>5902</v>
      </c>
      <c r="BN388" t="s">
        <v>74</v>
      </c>
      <c r="BO388" t="s">
        <v>96</v>
      </c>
      <c r="BP388" t="s">
        <v>74</v>
      </c>
      <c r="BQ388" t="s">
        <v>74</v>
      </c>
      <c r="BR388" t="s">
        <v>97</v>
      </c>
      <c r="BS388" t="s">
        <v>5903</v>
      </c>
      <c r="BT388" t="str">
        <f>HYPERLINK("https%3A%2F%2Fwww.webofscience.com%2Fwos%2Fwoscc%2Ffull-record%2FWOS:000183884300005","View Full Record in Web of Science")</f>
        <v>View Full Record in Web of Science</v>
      </c>
    </row>
    <row r="389" spans="1:72" x14ac:dyDescent="0.15">
      <c r="A389" t="s">
        <v>72</v>
      </c>
      <c r="B389" t="s">
        <v>5904</v>
      </c>
      <c r="C389" t="s">
        <v>74</v>
      </c>
      <c r="D389" t="s">
        <v>74</v>
      </c>
      <c r="E389" t="s">
        <v>74</v>
      </c>
      <c r="F389" t="s">
        <v>5904</v>
      </c>
      <c r="G389" t="s">
        <v>74</v>
      </c>
      <c r="H389" t="s">
        <v>74</v>
      </c>
      <c r="I389" t="s">
        <v>5905</v>
      </c>
      <c r="J389" t="s">
        <v>530</v>
      </c>
      <c r="K389" t="s">
        <v>74</v>
      </c>
      <c r="L389" t="s">
        <v>74</v>
      </c>
      <c r="M389" t="s">
        <v>77</v>
      </c>
      <c r="N389" t="s">
        <v>78</v>
      </c>
      <c r="O389" t="s">
        <v>74</v>
      </c>
      <c r="P389" t="s">
        <v>74</v>
      </c>
      <c r="Q389" t="s">
        <v>74</v>
      </c>
      <c r="R389" t="s">
        <v>74</v>
      </c>
      <c r="S389" t="s">
        <v>74</v>
      </c>
      <c r="T389" t="s">
        <v>74</v>
      </c>
      <c r="U389" t="s">
        <v>5906</v>
      </c>
      <c r="V389" t="s">
        <v>5907</v>
      </c>
      <c r="W389" t="s">
        <v>5908</v>
      </c>
      <c r="X389" t="s">
        <v>5909</v>
      </c>
      <c r="Y389" t="s">
        <v>5910</v>
      </c>
      <c r="Z389" t="s">
        <v>5911</v>
      </c>
      <c r="AA389" t="s">
        <v>5912</v>
      </c>
      <c r="AB389" t="s">
        <v>5913</v>
      </c>
      <c r="AC389" t="s">
        <v>74</v>
      </c>
      <c r="AD389" t="s">
        <v>74</v>
      </c>
      <c r="AE389" t="s">
        <v>74</v>
      </c>
      <c r="AF389" t="s">
        <v>74</v>
      </c>
      <c r="AG389">
        <v>17</v>
      </c>
      <c r="AH389">
        <v>116</v>
      </c>
      <c r="AI389">
        <v>119</v>
      </c>
      <c r="AJ389">
        <v>0</v>
      </c>
      <c r="AK389">
        <v>7</v>
      </c>
      <c r="AL389" t="s">
        <v>539</v>
      </c>
      <c r="AM389" t="s">
        <v>540</v>
      </c>
      <c r="AN389" t="s">
        <v>541</v>
      </c>
      <c r="AO389" t="s">
        <v>542</v>
      </c>
      <c r="AP389" t="s">
        <v>543</v>
      </c>
      <c r="AQ389" t="s">
        <v>74</v>
      </c>
      <c r="AR389" t="s">
        <v>544</v>
      </c>
      <c r="AS389" t="s">
        <v>545</v>
      </c>
      <c r="AT389" t="s">
        <v>5914</v>
      </c>
      <c r="AU389">
        <v>2003</v>
      </c>
      <c r="AV389">
        <v>30</v>
      </c>
      <c r="AW389">
        <v>12</v>
      </c>
      <c r="AX389" t="s">
        <v>74</v>
      </c>
      <c r="AY389" t="s">
        <v>74</v>
      </c>
      <c r="AZ389" t="s">
        <v>74</v>
      </c>
      <c r="BA389" t="s">
        <v>74</v>
      </c>
      <c r="BB389" t="s">
        <v>74</v>
      </c>
      <c r="BC389" t="s">
        <v>74</v>
      </c>
      <c r="BD389">
        <v>1599</v>
      </c>
      <c r="BE389" t="s">
        <v>5915</v>
      </c>
      <c r="BF389" t="str">
        <f>HYPERLINK("http://dx.doi.org/10.1029/2003GL017117","http://dx.doi.org/10.1029/2003GL017117")</f>
        <v>http://dx.doi.org/10.1029/2003GL017117</v>
      </c>
      <c r="BG389" t="s">
        <v>74</v>
      </c>
      <c r="BH389" t="s">
        <v>74</v>
      </c>
      <c r="BI389">
        <v>4</v>
      </c>
      <c r="BJ389" t="s">
        <v>548</v>
      </c>
      <c r="BK389" t="s">
        <v>94</v>
      </c>
      <c r="BL389" t="s">
        <v>549</v>
      </c>
      <c r="BM389" t="s">
        <v>5916</v>
      </c>
      <c r="BN389" t="s">
        <v>74</v>
      </c>
      <c r="BO389" t="s">
        <v>96</v>
      </c>
      <c r="BP389" t="s">
        <v>74</v>
      </c>
      <c r="BQ389" t="s">
        <v>74</v>
      </c>
      <c r="BR389" t="s">
        <v>97</v>
      </c>
      <c r="BS389" t="s">
        <v>5917</v>
      </c>
      <c r="BT389" t="str">
        <f>HYPERLINK("https%3A%2F%2Fwww.webofscience.com%2Fwos%2Fwoscc%2Ffull-record%2FWOS:000183742500002","View Full Record in Web of Science")</f>
        <v>View Full Record in Web of Science</v>
      </c>
    </row>
    <row r="390" spans="1:72" x14ac:dyDescent="0.15">
      <c r="A390" t="s">
        <v>72</v>
      </c>
      <c r="B390" t="s">
        <v>5918</v>
      </c>
      <c r="C390" t="s">
        <v>74</v>
      </c>
      <c r="D390" t="s">
        <v>74</v>
      </c>
      <c r="E390" t="s">
        <v>74</v>
      </c>
      <c r="F390" t="s">
        <v>5918</v>
      </c>
      <c r="G390" t="s">
        <v>74</v>
      </c>
      <c r="H390" t="s">
        <v>74</v>
      </c>
      <c r="I390" t="s">
        <v>5919</v>
      </c>
      <c r="J390" t="s">
        <v>530</v>
      </c>
      <c r="K390" t="s">
        <v>74</v>
      </c>
      <c r="L390" t="s">
        <v>74</v>
      </c>
      <c r="M390" t="s">
        <v>77</v>
      </c>
      <c r="N390" t="s">
        <v>78</v>
      </c>
      <c r="O390" t="s">
        <v>74</v>
      </c>
      <c r="P390" t="s">
        <v>74</v>
      </c>
      <c r="Q390" t="s">
        <v>74</v>
      </c>
      <c r="R390" t="s">
        <v>74</v>
      </c>
      <c r="S390" t="s">
        <v>74</v>
      </c>
      <c r="T390" t="s">
        <v>74</v>
      </c>
      <c r="U390" t="s">
        <v>5920</v>
      </c>
      <c r="V390" t="s">
        <v>5921</v>
      </c>
      <c r="W390" t="s">
        <v>5922</v>
      </c>
      <c r="X390" t="s">
        <v>5923</v>
      </c>
      <c r="Y390" t="s">
        <v>5924</v>
      </c>
      <c r="Z390" t="s">
        <v>5925</v>
      </c>
      <c r="AA390" t="s">
        <v>5926</v>
      </c>
      <c r="AB390" t="s">
        <v>5927</v>
      </c>
      <c r="AC390" t="s">
        <v>74</v>
      </c>
      <c r="AD390" t="s">
        <v>74</v>
      </c>
      <c r="AE390" t="s">
        <v>74</v>
      </c>
      <c r="AF390" t="s">
        <v>74</v>
      </c>
      <c r="AG390">
        <v>21</v>
      </c>
      <c r="AH390">
        <v>40</v>
      </c>
      <c r="AI390">
        <v>44</v>
      </c>
      <c r="AJ390">
        <v>0</v>
      </c>
      <c r="AK390">
        <v>3</v>
      </c>
      <c r="AL390" t="s">
        <v>539</v>
      </c>
      <c r="AM390" t="s">
        <v>540</v>
      </c>
      <c r="AN390" t="s">
        <v>541</v>
      </c>
      <c r="AO390" t="s">
        <v>542</v>
      </c>
      <c r="AP390" t="s">
        <v>543</v>
      </c>
      <c r="AQ390" t="s">
        <v>74</v>
      </c>
      <c r="AR390" t="s">
        <v>544</v>
      </c>
      <c r="AS390" t="s">
        <v>545</v>
      </c>
      <c r="AT390" t="s">
        <v>5914</v>
      </c>
      <c r="AU390">
        <v>2003</v>
      </c>
      <c r="AV390">
        <v>30</v>
      </c>
      <c r="AW390">
        <v>12</v>
      </c>
      <c r="AX390" t="s">
        <v>74</v>
      </c>
      <c r="AY390" t="s">
        <v>74</v>
      </c>
      <c r="AZ390" t="s">
        <v>74</v>
      </c>
      <c r="BA390" t="s">
        <v>74</v>
      </c>
      <c r="BB390" t="s">
        <v>74</v>
      </c>
      <c r="BC390" t="s">
        <v>74</v>
      </c>
      <c r="BD390">
        <v>1600</v>
      </c>
      <c r="BE390" t="s">
        <v>5928</v>
      </c>
      <c r="BF390" t="str">
        <f>HYPERLINK("http://dx.doi.org/10.1029/2003gl016946","http://dx.doi.org/10.1029/2003gl016946")</f>
        <v>http://dx.doi.org/10.1029/2003gl016946</v>
      </c>
      <c r="BG390" t="s">
        <v>74</v>
      </c>
      <c r="BH390" t="s">
        <v>74</v>
      </c>
      <c r="BI390">
        <v>4</v>
      </c>
      <c r="BJ390" t="s">
        <v>548</v>
      </c>
      <c r="BK390" t="s">
        <v>94</v>
      </c>
      <c r="BL390" t="s">
        <v>549</v>
      </c>
      <c r="BM390" t="s">
        <v>5916</v>
      </c>
      <c r="BN390" t="s">
        <v>74</v>
      </c>
      <c r="BO390" t="s">
        <v>974</v>
      </c>
      <c r="BP390" t="s">
        <v>74</v>
      </c>
      <c r="BQ390" t="s">
        <v>74</v>
      </c>
      <c r="BR390" t="s">
        <v>97</v>
      </c>
      <c r="BS390" t="s">
        <v>5929</v>
      </c>
      <c r="BT390" t="str">
        <f>HYPERLINK("https%3A%2F%2Fwww.webofscience.com%2Fwos%2Fwoscc%2Ffull-record%2FWOS:000183742500001","View Full Record in Web of Science")</f>
        <v>View Full Record in Web of Science</v>
      </c>
    </row>
    <row r="391" spans="1:72" x14ac:dyDescent="0.15">
      <c r="A391" t="s">
        <v>72</v>
      </c>
      <c r="B391" t="s">
        <v>5930</v>
      </c>
      <c r="C391" t="s">
        <v>74</v>
      </c>
      <c r="D391" t="s">
        <v>74</v>
      </c>
      <c r="E391" t="s">
        <v>74</v>
      </c>
      <c r="F391" t="s">
        <v>5930</v>
      </c>
      <c r="G391" t="s">
        <v>74</v>
      </c>
      <c r="H391" t="s">
        <v>74</v>
      </c>
      <c r="I391" t="s">
        <v>5931</v>
      </c>
      <c r="J391" t="s">
        <v>470</v>
      </c>
      <c r="K391" t="s">
        <v>74</v>
      </c>
      <c r="L391" t="s">
        <v>74</v>
      </c>
      <c r="M391" t="s">
        <v>77</v>
      </c>
      <c r="N391" t="s">
        <v>78</v>
      </c>
      <c r="O391" t="s">
        <v>74</v>
      </c>
      <c r="P391" t="s">
        <v>74</v>
      </c>
      <c r="Q391" t="s">
        <v>74</v>
      </c>
      <c r="R391" t="s">
        <v>74</v>
      </c>
      <c r="S391" t="s">
        <v>74</v>
      </c>
      <c r="T391" t="s">
        <v>5932</v>
      </c>
      <c r="U391" t="s">
        <v>5933</v>
      </c>
      <c r="V391" t="s">
        <v>5934</v>
      </c>
      <c r="W391" t="s">
        <v>5935</v>
      </c>
      <c r="X391" t="s">
        <v>5936</v>
      </c>
      <c r="Y391" t="s">
        <v>5937</v>
      </c>
      <c r="Z391" t="s">
        <v>74</v>
      </c>
      <c r="AA391" t="s">
        <v>5938</v>
      </c>
      <c r="AB391" t="s">
        <v>5939</v>
      </c>
      <c r="AC391" t="s">
        <v>74</v>
      </c>
      <c r="AD391" t="s">
        <v>74</v>
      </c>
      <c r="AE391" t="s">
        <v>74</v>
      </c>
      <c r="AF391" t="s">
        <v>74</v>
      </c>
      <c r="AG391">
        <v>21</v>
      </c>
      <c r="AH391">
        <v>7</v>
      </c>
      <c r="AI391">
        <v>8</v>
      </c>
      <c r="AJ391">
        <v>0</v>
      </c>
      <c r="AK391">
        <v>0</v>
      </c>
      <c r="AL391" t="s">
        <v>479</v>
      </c>
      <c r="AM391" t="s">
        <v>480</v>
      </c>
      <c r="AN391" t="s">
        <v>481</v>
      </c>
      <c r="AO391" t="s">
        <v>482</v>
      </c>
      <c r="AP391" t="s">
        <v>74</v>
      </c>
      <c r="AQ391" t="s">
        <v>74</v>
      </c>
      <c r="AR391" t="s">
        <v>470</v>
      </c>
      <c r="AS391" t="s">
        <v>483</v>
      </c>
      <c r="AT391" t="s">
        <v>5940</v>
      </c>
      <c r="AU391">
        <v>2003</v>
      </c>
      <c r="AV391">
        <v>88</v>
      </c>
      <c r="AW391">
        <v>2</v>
      </c>
      <c r="AX391" t="s">
        <v>74</v>
      </c>
      <c r="AY391" t="s">
        <v>74</v>
      </c>
      <c r="AZ391" t="s">
        <v>74</v>
      </c>
      <c r="BA391" t="s">
        <v>74</v>
      </c>
      <c r="BB391">
        <v>97</v>
      </c>
      <c r="BC391">
        <v>106</v>
      </c>
      <c r="BD391" t="s">
        <v>74</v>
      </c>
      <c r="BE391" t="s">
        <v>5941</v>
      </c>
      <c r="BF391" t="str">
        <f>HYPERLINK("http://dx.doi.org/10.1080/00364820310001714","http://dx.doi.org/10.1080/00364820310001714")</f>
        <v>http://dx.doi.org/10.1080/00364820310001714</v>
      </c>
      <c r="BG391" t="s">
        <v>74</v>
      </c>
      <c r="BH391" t="s">
        <v>74</v>
      </c>
      <c r="BI391">
        <v>10</v>
      </c>
      <c r="BJ391" t="s">
        <v>485</v>
      </c>
      <c r="BK391" t="s">
        <v>94</v>
      </c>
      <c r="BL391" t="s">
        <v>486</v>
      </c>
      <c r="BM391" t="s">
        <v>5942</v>
      </c>
      <c r="BN391" t="s">
        <v>74</v>
      </c>
      <c r="BO391" t="s">
        <v>74</v>
      </c>
      <c r="BP391" t="s">
        <v>74</v>
      </c>
      <c r="BQ391" t="s">
        <v>74</v>
      </c>
      <c r="BR391" t="s">
        <v>97</v>
      </c>
      <c r="BS391" t="s">
        <v>5943</v>
      </c>
      <c r="BT391" t="str">
        <f>HYPERLINK("https%3A%2F%2Fwww.webofscience.com%2Fwos%2Fwoscc%2Ffull-record%2FWOS:000183910100001","View Full Record in Web of Science")</f>
        <v>View Full Record in Web of Science</v>
      </c>
    </row>
    <row r="392" spans="1:72" x14ac:dyDescent="0.15">
      <c r="A392" t="s">
        <v>72</v>
      </c>
      <c r="B392" t="s">
        <v>5944</v>
      </c>
      <c r="C392" t="s">
        <v>74</v>
      </c>
      <c r="D392" t="s">
        <v>74</v>
      </c>
      <c r="E392" t="s">
        <v>74</v>
      </c>
      <c r="F392" t="s">
        <v>5944</v>
      </c>
      <c r="G392" t="s">
        <v>74</v>
      </c>
      <c r="H392" t="s">
        <v>74</v>
      </c>
      <c r="I392" t="s">
        <v>5945</v>
      </c>
      <c r="J392" t="s">
        <v>1033</v>
      </c>
      <c r="K392" t="s">
        <v>74</v>
      </c>
      <c r="L392" t="s">
        <v>74</v>
      </c>
      <c r="M392" t="s">
        <v>77</v>
      </c>
      <c r="N392" t="s">
        <v>78</v>
      </c>
      <c r="O392" t="s">
        <v>74</v>
      </c>
      <c r="P392" t="s">
        <v>74</v>
      </c>
      <c r="Q392" t="s">
        <v>74</v>
      </c>
      <c r="R392" t="s">
        <v>74</v>
      </c>
      <c r="S392" t="s">
        <v>74</v>
      </c>
      <c r="T392" t="s">
        <v>5946</v>
      </c>
      <c r="U392" t="s">
        <v>5947</v>
      </c>
      <c r="V392" t="s">
        <v>5948</v>
      </c>
      <c r="W392" t="s">
        <v>5949</v>
      </c>
      <c r="X392" t="s">
        <v>5950</v>
      </c>
      <c r="Y392" t="s">
        <v>5951</v>
      </c>
      <c r="Z392" t="s">
        <v>74</v>
      </c>
      <c r="AA392" t="s">
        <v>74</v>
      </c>
      <c r="AB392" t="s">
        <v>74</v>
      </c>
      <c r="AC392" t="s">
        <v>74</v>
      </c>
      <c r="AD392" t="s">
        <v>74</v>
      </c>
      <c r="AE392" t="s">
        <v>74</v>
      </c>
      <c r="AF392" t="s">
        <v>74</v>
      </c>
      <c r="AG392">
        <v>71</v>
      </c>
      <c r="AH392">
        <v>82</v>
      </c>
      <c r="AI392">
        <v>107</v>
      </c>
      <c r="AJ392">
        <v>0</v>
      </c>
      <c r="AK392">
        <v>26</v>
      </c>
      <c r="AL392" t="s">
        <v>110</v>
      </c>
      <c r="AM392" t="s">
        <v>111</v>
      </c>
      <c r="AN392" t="s">
        <v>112</v>
      </c>
      <c r="AO392" t="s">
        <v>1043</v>
      </c>
      <c r="AP392" t="s">
        <v>74</v>
      </c>
      <c r="AQ392" t="s">
        <v>74</v>
      </c>
      <c r="AR392" t="s">
        <v>1045</v>
      </c>
      <c r="AS392" t="s">
        <v>1046</v>
      </c>
      <c r="AT392" t="s">
        <v>5952</v>
      </c>
      <c r="AU392">
        <v>2003</v>
      </c>
      <c r="AV392">
        <v>211</v>
      </c>
      <c r="AW392" t="s">
        <v>787</v>
      </c>
      <c r="AX392" t="s">
        <v>74</v>
      </c>
      <c r="AY392" t="s">
        <v>74</v>
      </c>
      <c r="AZ392" t="s">
        <v>74</v>
      </c>
      <c r="BA392" t="s">
        <v>74</v>
      </c>
      <c r="BB392">
        <v>125</v>
      </c>
      <c r="BC392">
        <v>141</v>
      </c>
      <c r="BD392" t="s">
        <v>74</v>
      </c>
      <c r="BE392" t="s">
        <v>5953</v>
      </c>
      <c r="BF392" t="str">
        <f>HYPERLINK("http://dx.doi.org/10.1016/S0012-821X(03)00136-5","http://dx.doi.org/10.1016/S0012-821X(03)00136-5")</f>
        <v>http://dx.doi.org/10.1016/S0012-821X(03)00136-5</v>
      </c>
      <c r="BG392" t="s">
        <v>74</v>
      </c>
      <c r="BH392" t="s">
        <v>74</v>
      </c>
      <c r="BI392">
        <v>17</v>
      </c>
      <c r="BJ392" t="s">
        <v>176</v>
      </c>
      <c r="BK392" t="s">
        <v>94</v>
      </c>
      <c r="BL392" t="s">
        <v>176</v>
      </c>
      <c r="BM392" t="s">
        <v>5954</v>
      </c>
      <c r="BN392" t="s">
        <v>74</v>
      </c>
      <c r="BO392" t="s">
        <v>74</v>
      </c>
      <c r="BP392" t="s">
        <v>74</v>
      </c>
      <c r="BQ392" t="s">
        <v>74</v>
      </c>
      <c r="BR392" t="s">
        <v>97</v>
      </c>
      <c r="BS392" t="s">
        <v>5955</v>
      </c>
      <c r="BT392" t="str">
        <f>HYPERLINK("https%3A%2F%2Fwww.webofscience.com%2Fwos%2Fwoscc%2Ffull-record%2FWOS:000183577500010","View Full Record in Web of Science")</f>
        <v>View Full Record in Web of Science</v>
      </c>
    </row>
    <row r="393" spans="1:72" x14ac:dyDescent="0.15">
      <c r="A393" t="s">
        <v>72</v>
      </c>
      <c r="B393" t="s">
        <v>5956</v>
      </c>
      <c r="C393" t="s">
        <v>74</v>
      </c>
      <c r="D393" t="s">
        <v>74</v>
      </c>
      <c r="E393" t="s">
        <v>74</v>
      </c>
      <c r="F393" t="s">
        <v>5956</v>
      </c>
      <c r="G393" t="s">
        <v>74</v>
      </c>
      <c r="H393" t="s">
        <v>74</v>
      </c>
      <c r="I393" t="s">
        <v>5957</v>
      </c>
      <c r="J393" t="s">
        <v>4338</v>
      </c>
      <c r="K393" t="s">
        <v>74</v>
      </c>
      <c r="L393" t="s">
        <v>74</v>
      </c>
      <c r="M393" t="s">
        <v>77</v>
      </c>
      <c r="N393" t="s">
        <v>78</v>
      </c>
      <c r="O393" t="s">
        <v>74</v>
      </c>
      <c r="P393" t="s">
        <v>74</v>
      </c>
      <c r="Q393" t="s">
        <v>74</v>
      </c>
      <c r="R393" t="s">
        <v>74</v>
      </c>
      <c r="S393" t="s">
        <v>74</v>
      </c>
      <c r="T393" t="s">
        <v>74</v>
      </c>
      <c r="U393" t="s">
        <v>5958</v>
      </c>
      <c r="V393" t="s">
        <v>5959</v>
      </c>
      <c r="W393" t="s">
        <v>5960</v>
      </c>
      <c r="X393" t="s">
        <v>5961</v>
      </c>
      <c r="Y393" t="s">
        <v>5962</v>
      </c>
      <c r="Z393" t="s">
        <v>5963</v>
      </c>
      <c r="AA393" t="s">
        <v>74</v>
      </c>
      <c r="AB393" t="s">
        <v>5964</v>
      </c>
      <c r="AC393" t="s">
        <v>74</v>
      </c>
      <c r="AD393" t="s">
        <v>74</v>
      </c>
      <c r="AE393" t="s">
        <v>74</v>
      </c>
      <c r="AF393" t="s">
        <v>74</v>
      </c>
      <c r="AG393">
        <v>27</v>
      </c>
      <c r="AH393">
        <v>32</v>
      </c>
      <c r="AI393">
        <v>32</v>
      </c>
      <c r="AJ393">
        <v>2</v>
      </c>
      <c r="AK393">
        <v>43</v>
      </c>
      <c r="AL393" t="s">
        <v>4346</v>
      </c>
      <c r="AM393" t="s">
        <v>540</v>
      </c>
      <c r="AN393" t="s">
        <v>4347</v>
      </c>
      <c r="AO393" t="s">
        <v>4348</v>
      </c>
      <c r="AP393" t="s">
        <v>5965</v>
      </c>
      <c r="AQ393" t="s">
        <v>74</v>
      </c>
      <c r="AR393" t="s">
        <v>4349</v>
      </c>
      <c r="AS393" t="s">
        <v>4350</v>
      </c>
      <c r="AT393" t="s">
        <v>5952</v>
      </c>
      <c r="AU393">
        <v>2003</v>
      </c>
      <c r="AV393">
        <v>37</v>
      </c>
      <c r="AW393">
        <v>12</v>
      </c>
      <c r="AX393" t="s">
        <v>74</v>
      </c>
      <c r="AY393" t="s">
        <v>74</v>
      </c>
      <c r="AZ393" t="s">
        <v>74</v>
      </c>
      <c r="BA393" t="s">
        <v>74</v>
      </c>
      <c r="BB393">
        <v>2681</v>
      </c>
      <c r="BC393">
        <v>2685</v>
      </c>
      <c r="BD393" t="s">
        <v>74</v>
      </c>
      <c r="BE393" t="s">
        <v>5966</v>
      </c>
      <c r="BF393" t="str">
        <f>HYPERLINK("http://dx.doi.org/10.1021/es034055n","http://dx.doi.org/10.1021/es034055n")</f>
        <v>http://dx.doi.org/10.1021/es034055n</v>
      </c>
      <c r="BG393" t="s">
        <v>74</v>
      </c>
      <c r="BH393" t="s">
        <v>74</v>
      </c>
      <c r="BI393">
        <v>5</v>
      </c>
      <c r="BJ393" t="s">
        <v>1122</v>
      </c>
      <c r="BK393" t="s">
        <v>94</v>
      </c>
      <c r="BL393" t="s">
        <v>1123</v>
      </c>
      <c r="BM393" t="s">
        <v>5967</v>
      </c>
      <c r="BN393">
        <v>12854705</v>
      </c>
      <c r="BO393" t="s">
        <v>74</v>
      </c>
      <c r="BP393" t="s">
        <v>74</v>
      </c>
      <c r="BQ393" t="s">
        <v>74</v>
      </c>
      <c r="BR393" t="s">
        <v>97</v>
      </c>
      <c r="BS393" t="s">
        <v>5968</v>
      </c>
      <c r="BT393" t="str">
        <f>HYPERLINK("https%3A%2F%2Fwww.webofscience.com%2Fwos%2Fwoscc%2Ffull-record%2FWOS:000183504900008","View Full Record in Web of Science")</f>
        <v>View Full Record in Web of Science</v>
      </c>
    </row>
    <row r="394" spans="1:72" x14ac:dyDescent="0.15">
      <c r="A394" t="s">
        <v>72</v>
      </c>
      <c r="B394" t="s">
        <v>5969</v>
      </c>
      <c r="C394" t="s">
        <v>74</v>
      </c>
      <c r="D394" t="s">
        <v>74</v>
      </c>
      <c r="E394" t="s">
        <v>74</v>
      </c>
      <c r="F394" t="s">
        <v>5969</v>
      </c>
      <c r="G394" t="s">
        <v>74</v>
      </c>
      <c r="H394" t="s">
        <v>74</v>
      </c>
      <c r="I394" t="s">
        <v>5970</v>
      </c>
      <c r="J394" t="s">
        <v>772</v>
      </c>
      <c r="K394" t="s">
        <v>74</v>
      </c>
      <c r="L394" t="s">
        <v>74</v>
      </c>
      <c r="M394" t="s">
        <v>77</v>
      </c>
      <c r="N394" t="s">
        <v>78</v>
      </c>
      <c r="O394" t="s">
        <v>74</v>
      </c>
      <c r="P394" t="s">
        <v>74</v>
      </c>
      <c r="Q394" t="s">
        <v>74</v>
      </c>
      <c r="R394" t="s">
        <v>74</v>
      </c>
      <c r="S394" t="s">
        <v>74</v>
      </c>
      <c r="T394" t="s">
        <v>5971</v>
      </c>
      <c r="U394" t="s">
        <v>5972</v>
      </c>
      <c r="V394" t="s">
        <v>5973</v>
      </c>
      <c r="W394" t="s">
        <v>5974</v>
      </c>
      <c r="X394" t="s">
        <v>5975</v>
      </c>
      <c r="Y394" t="s">
        <v>5976</v>
      </c>
      <c r="Z394" t="s">
        <v>5977</v>
      </c>
      <c r="AA394" t="s">
        <v>5978</v>
      </c>
      <c r="AB394" t="s">
        <v>5979</v>
      </c>
      <c r="AC394" t="s">
        <v>74</v>
      </c>
      <c r="AD394" t="s">
        <v>74</v>
      </c>
      <c r="AE394" t="s">
        <v>74</v>
      </c>
      <c r="AF394" t="s">
        <v>74</v>
      </c>
      <c r="AG394">
        <v>75</v>
      </c>
      <c r="AH394">
        <v>33</v>
      </c>
      <c r="AI394">
        <v>38</v>
      </c>
      <c r="AJ394">
        <v>2</v>
      </c>
      <c r="AK394">
        <v>6</v>
      </c>
      <c r="AL394" t="s">
        <v>781</v>
      </c>
      <c r="AM394" t="s">
        <v>111</v>
      </c>
      <c r="AN394" t="s">
        <v>782</v>
      </c>
      <c r="AO394" t="s">
        <v>783</v>
      </c>
      <c r="AP394" t="s">
        <v>784</v>
      </c>
      <c r="AQ394" t="s">
        <v>74</v>
      </c>
      <c r="AR394" t="s">
        <v>785</v>
      </c>
      <c r="AS394" t="s">
        <v>786</v>
      </c>
      <c r="AT394" t="s">
        <v>5952</v>
      </c>
      <c r="AU394">
        <v>2003</v>
      </c>
      <c r="AV394">
        <v>195</v>
      </c>
      <c r="AW394" t="s">
        <v>116</v>
      </c>
      <c r="AX394" t="s">
        <v>74</v>
      </c>
      <c r="AY394" t="s">
        <v>74</v>
      </c>
      <c r="AZ394" t="s">
        <v>74</v>
      </c>
      <c r="BA394" t="s">
        <v>74</v>
      </c>
      <c r="BB394">
        <v>261</v>
      </c>
      <c r="BC394">
        <v>280</v>
      </c>
      <c r="BD394" t="s">
        <v>74</v>
      </c>
      <c r="BE394" t="s">
        <v>5980</v>
      </c>
      <c r="BF394" t="str">
        <f>HYPERLINK("http://dx.doi.org/10.1016/S0031-0182(03)00361-4","http://dx.doi.org/10.1016/S0031-0182(03)00361-4")</f>
        <v>http://dx.doi.org/10.1016/S0031-0182(03)00361-4</v>
      </c>
      <c r="BG394" t="s">
        <v>74</v>
      </c>
      <c r="BH394" t="s">
        <v>74</v>
      </c>
      <c r="BI394">
        <v>20</v>
      </c>
      <c r="BJ394" t="s">
        <v>789</v>
      </c>
      <c r="BK394" t="s">
        <v>94</v>
      </c>
      <c r="BL394" t="s">
        <v>790</v>
      </c>
      <c r="BM394" t="s">
        <v>5981</v>
      </c>
      <c r="BN394" t="s">
        <v>74</v>
      </c>
      <c r="BO394" t="s">
        <v>74</v>
      </c>
      <c r="BP394" t="s">
        <v>74</v>
      </c>
      <c r="BQ394" t="s">
        <v>74</v>
      </c>
      <c r="BR394" t="s">
        <v>97</v>
      </c>
      <c r="BS394" t="s">
        <v>5982</v>
      </c>
      <c r="BT394" t="str">
        <f>HYPERLINK("https%3A%2F%2Fwww.webofscience.com%2Fwos%2Fwoscc%2Ffull-record%2FWOS:000183689300002","View Full Record in Web of Science")</f>
        <v>View Full Record in Web of Science</v>
      </c>
    </row>
    <row r="395" spans="1:72" x14ac:dyDescent="0.15">
      <c r="A395" t="s">
        <v>72</v>
      </c>
      <c r="B395" t="s">
        <v>5983</v>
      </c>
      <c r="C395" t="s">
        <v>74</v>
      </c>
      <c r="D395" t="s">
        <v>74</v>
      </c>
      <c r="E395" t="s">
        <v>74</v>
      </c>
      <c r="F395" t="s">
        <v>5983</v>
      </c>
      <c r="G395" t="s">
        <v>74</v>
      </c>
      <c r="H395" t="s">
        <v>74</v>
      </c>
      <c r="I395" t="s">
        <v>5984</v>
      </c>
      <c r="J395" t="s">
        <v>772</v>
      </c>
      <c r="K395" t="s">
        <v>74</v>
      </c>
      <c r="L395" t="s">
        <v>74</v>
      </c>
      <c r="M395" t="s">
        <v>77</v>
      </c>
      <c r="N395" t="s">
        <v>556</v>
      </c>
      <c r="O395" t="s">
        <v>74</v>
      </c>
      <c r="P395" t="s">
        <v>74</v>
      </c>
      <c r="Q395" t="s">
        <v>74</v>
      </c>
      <c r="R395" t="s">
        <v>74</v>
      </c>
      <c r="S395" t="s">
        <v>74</v>
      </c>
      <c r="T395" t="s">
        <v>5985</v>
      </c>
      <c r="U395" t="s">
        <v>5986</v>
      </c>
      <c r="V395" t="s">
        <v>5987</v>
      </c>
      <c r="W395" t="s">
        <v>5988</v>
      </c>
      <c r="X395" t="s">
        <v>5989</v>
      </c>
      <c r="Y395" t="s">
        <v>5990</v>
      </c>
      <c r="Z395" t="s">
        <v>5991</v>
      </c>
      <c r="AA395" t="s">
        <v>74</v>
      </c>
      <c r="AB395" t="s">
        <v>5992</v>
      </c>
      <c r="AC395" t="s">
        <v>74</v>
      </c>
      <c r="AD395" t="s">
        <v>74</v>
      </c>
      <c r="AE395" t="s">
        <v>74</v>
      </c>
      <c r="AF395" t="s">
        <v>74</v>
      </c>
      <c r="AG395">
        <v>134</v>
      </c>
      <c r="AH395">
        <v>43</v>
      </c>
      <c r="AI395">
        <v>48</v>
      </c>
      <c r="AJ395">
        <v>1</v>
      </c>
      <c r="AK395">
        <v>10</v>
      </c>
      <c r="AL395" t="s">
        <v>781</v>
      </c>
      <c r="AM395" t="s">
        <v>111</v>
      </c>
      <c r="AN395" t="s">
        <v>782</v>
      </c>
      <c r="AO395" t="s">
        <v>783</v>
      </c>
      <c r="AP395" t="s">
        <v>784</v>
      </c>
      <c r="AQ395" t="s">
        <v>74</v>
      </c>
      <c r="AR395" t="s">
        <v>785</v>
      </c>
      <c r="AS395" t="s">
        <v>786</v>
      </c>
      <c r="AT395" t="s">
        <v>5952</v>
      </c>
      <c r="AU395">
        <v>2003</v>
      </c>
      <c r="AV395">
        <v>195</v>
      </c>
      <c r="AW395" t="s">
        <v>116</v>
      </c>
      <c r="AX395" t="s">
        <v>74</v>
      </c>
      <c r="AY395" t="s">
        <v>74</v>
      </c>
      <c r="AZ395" t="s">
        <v>74</v>
      </c>
      <c r="BA395" t="s">
        <v>74</v>
      </c>
      <c r="BB395">
        <v>319</v>
      </c>
      <c r="BC395">
        <v>356</v>
      </c>
      <c r="BD395" t="s">
        <v>74</v>
      </c>
      <c r="BE395" t="s">
        <v>5993</v>
      </c>
      <c r="BF395" t="str">
        <f>HYPERLINK("http://dx.doi.org/10.1016/S0031-0182(03)00364-X","http://dx.doi.org/10.1016/S0031-0182(03)00364-X")</f>
        <v>http://dx.doi.org/10.1016/S0031-0182(03)00364-X</v>
      </c>
      <c r="BG395" t="s">
        <v>74</v>
      </c>
      <c r="BH395" t="s">
        <v>74</v>
      </c>
      <c r="BI395">
        <v>38</v>
      </c>
      <c r="BJ395" t="s">
        <v>789</v>
      </c>
      <c r="BK395" t="s">
        <v>94</v>
      </c>
      <c r="BL395" t="s">
        <v>790</v>
      </c>
      <c r="BM395" t="s">
        <v>5981</v>
      </c>
      <c r="BN395" t="s">
        <v>74</v>
      </c>
      <c r="BO395" t="s">
        <v>74</v>
      </c>
      <c r="BP395" t="s">
        <v>74</v>
      </c>
      <c r="BQ395" t="s">
        <v>74</v>
      </c>
      <c r="BR395" t="s">
        <v>97</v>
      </c>
      <c r="BS395" t="s">
        <v>5994</v>
      </c>
      <c r="BT395" t="str">
        <f>HYPERLINK("https%3A%2F%2Fwww.webofscience.com%2Fwos%2Fwoscc%2Ffull-record%2FWOS:000183689300005","View Full Record in Web of Science")</f>
        <v>View Full Record in Web of Science</v>
      </c>
    </row>
    <row r="396" spans="1:72" x14ac:dyDescent="0.15">
      <c r="A396" t="s">
        <v>72</v>
      </c>
      <c r="B396" t="s">
        <v>5995</v>
      </c>
      <c r="C396" t="s">
        <v>74</v>
      </c>
      <c r="D396" t="s">
        <v>74</v>
      </c>
      <c r="E396" t="s">
        <v>74</v>
      </c>
      <c r="F396" t="s">
        <v>5995</v>
      </c>
      <c r="G396" t="s">
        <v>74</v>
      </c>
      <c r="H396" t="s">
        <v>74</v>
      </c>
      <c r="I396" t="s">
        <v>5996</v>
      </c>
      <c r="J396" t="s">
        <v>1015</v>
      </c>
      <c r="K396" t="s">
        <v>74</v>
      </c>
      <c r="L396" t="s">
        <v>74</v>
      </c>
      <c r="M396" t="s">
        <v>77</v>
      </c>
      <c r="N396" t="s">
        <v>78</v>
      </c>
      <c r="O396" t="s">
        <v>74</v>
      </c>
      <c r="P396" t="s">
        <v>74</v>
      </c>
      <c r="Q396" t="s">
        <v>74</v>
      </c>
      <c r="R396" t="s">
        <v>74</v>
      </c>
      <c r="S396" t="s">
        <v>74</v>
      </c>
      <c r="T396" t="s">
        <v>5997</v>
      </c>
      <c r="U396" t="s">
        <v>5998</v>
      </c>
      <c r="V396" t="s">
        <v>5999</v>
      </c>
      <c r="W396" t="s">
        <v>6000</v>
      </c>
      <c r="X396" t="s">
        <v>6001</v>
      </c>
      <c r="Y396" t="s">
        <v>6002</v>
      </c>
      <c r="Z396" t="s">
        <v>6003</v>
      </c>
      <c r="AA396" t="s">
        <v>6004</v>
      </c>
      <c r="AB396" t="s">
        <v>6005</v>
      </c>
      <c r="AC396" t="s">
        <v>74</v>
      </c>
      <c r="AD396" t="s">
        <v>74</v>
      </c>
      <c r="AE396" t="s">
        <v>74</v>
      </c>
      <c r="AF396" t="s">
        <v>74</v>
      </c>
      <c r="AG396">
        <v>41</v>
      </c>
      <c r="AH396">
        <v>20</v>
      </c>
      <c r="AI396">
        <v>23</v>
      </c>
      <c r="AJ396">
        <v>0</v>
      </c>
      <c r="AK396">
        <v>2</v>
      </c>
      <c r="AL396" t="s">
        <v>781</v>
      </c>
      <c r="AM396" t="s">
        <v>111</v>
      </c>
      <c r="AN396" t="s">
        <v>782</v>
      </c>
      <c r="AO396" t="s">
        <v>1025</v>
      </c>
      <c r="AP396" t="s">
        <v>1026</v>
      </c>
      <c r="AQ396" t="s">
        <v>74</v>
      </c>
      <c r="AR396" t="s">
        <v>1015</v>
      </c>
      <c r="AS396" t="s">
        <v>1027</v>
      </c>
      <c r="AT396" t="s">
        <v>6006</v>
      </c>
      <c r="AU396">
        <v>2003</v>
      </c>
      <c r="AV396">
        <v>367</v>
      </c>
      <c r="AW396" t="s">
        <v>116</v>
      </c>
      <c r="AX396" t="s">
        <v>74</v>
      </c>
      <c r="AY396" t="s">
        <v>74</v>
      </c>
      <c r="AZ396" t="s">
        <v>74</v>
      </c>
      <c r="BA396" t="s">
        <v>74</v>
      </c>
      <c r="BB396">
        <v>173</v>
      </c>
      <c r="BC396">
        <v>186</v>
      </c>
      <c r="BD396" t="s">
        <v>74</v>
      </c>
      <c r="BE396" t="s">
        <v>6007</v>
      </c>
      <c r="BF396" t="str">
        <f>HYPERLINK("http://dx.doi.org/10.1016/S0040-1951(03)00125-2","http://dx.doi.org/10.1016/S0040-1951(03)00125-2")</f>
        <v>http://dx.doi.org/10.1016/S0040-1951(03)00125-2</v>
      </c>
      <c r="BG396" t="s">
        <v>74</v>
      </c>
      <c r="BH396" t="s">
        <v>74</v>
      </c>
      <c r="BI396">
        <v>14</v>
      </c>
      <c r="BJ396" t="s">
        <v>176</v>
      </c>
      <c r="BK396" t="s">
        <v>94</v>
      </c>
      <c r="BL396" t="s">
        <v>176</v>
      </c>
      <c r="BM396" t="s">
        <v>6008</v>
      </c>
      <c r="BN396" t="s">
        <v>74</v>
      </c>
      <c r="BO396" t="s">
        <v>74</v>
      </c>
      <c r="BP396" t="s">
        <v>74</v>
      </c>
      <c r="BQ396" t="s">
        <v>74</v>
      </c>
      <c r="BR396" t="s">
        <v>97</v>
      </c>
      <c r="BS396" t="s">
        <v>6009</v>
      </c>
      <c r="BT396" t="str">
        <f>HYPERLINK("https%3A%2F%2Fwww.webofscience.com%2Fwos%2Fwoscc%2Ffull-record%2FWOS:000183738000002","View Full Record in Web of Science")</f>
        <v>View Full Record in Web of Science</v>
      </c>
    </row>
    <row r="397" spans="1:72" x14ac:dyDescent="0.15">
      <c r="A397" t="s">
        <v>72</v>
      </c>
      <c r="B397" t="s">
        <v>6010</v>
      </c>
      <c r="C397" t="s">
        <v>74</v>
      </c>
      <c r="D397" t="s">
        <v>74</v>
      </c>
      <c r="E397" t="s">
        <v>74</v>
      </c>
      <c r="F397" t="s">
        <v>6010</v>
      </c>
      <c r="G397" t="s">
        <v>74</v>
      </c>
      <c r="H397" t="s">
        <v>74</v>
      </c>
      <c r="I397" t="s">
        <v>6011</v>
      </c>
      <c r="J397" t="s">
        <v>578</v>
      </c>
      <c r="K397" t="s">
        <v>74</v>
      </c>
      <c r="L397" t="s">
        <v>74</v>
      </c>
      <c r="M397" t="s">
        <v>77</v>
      </c>
      <c r="N397" t="s">
        <v>78</v>
      </c>
      <c r="O397" t="s">
        <v>74</v>
      </c>
      <c r="P397" t="s">
        <v>74</v>
      </c>
      <c r="Q397" t="s">
        <v>74</v>
      </c>
      <c r="R397" t="s">
        <v>74</v>
      </c>
      <c r="S397" t="s">
        <v>74</v>
      </c>
      <c r="T397" t="s">
        <v>6012</v>
      </c>
      <c r="U397" t="s">
        <v>6013</v>
      </c>
      <c r="V397" t="s">
        <v>6014</v>
      </c>
      <c r="W397" t="s">
        <v>3669</v>
      </c>
      <c r="X397" t="s">
        <v>3670</v>
      </c>
      <c r="Y397" t="s">
        <v>6015</v>
      </c>
      <c r="Z397" t="s">
        <v>6016</v>
      </c>
      <c r="AA397" t="s">
        <v>74</v>
      </c>
      <c r="AB397" t="s">
        <v>74</v>
      </c>
      <c r="AC397" t="s">
        <v>74</v>
      </c>
      <c r="AD397" t="s">
        <v>74</v>
      </c>
      <c r="AE397" t="s">
        <v>74</v>
      </c>
      <c r="AF397" t="s">
        <v>74</v>
      </c>
      <c r="AG397">
        <v>85</v>
      </c>
      <c r="AH397">
        <v>20</v>
      </c>
      <c r="AI397">
        <v>22</v>
      </c>
      <c r="AJ397">
        <v>0</v>
      </c>
      <c r="AK397">
        <v>7</v>
      </c>
      <c r="AL397" t="s">
        <v>539</v>
      </c>
      <c r="AM397" t="s">
        <v>540</v>
      </c>
      <c r="AN397" t="s">
        <v>541</v>
      </c>
      <c r="AO397" t="s">
        <v>588</v>
      </c>
      <c r="AP397" t="s">
        <v>74</v>
      </c>
      <c r="AQ397" t="s">
        <v>74</v>
      </c>
      <c r="AR397" t="s">
        <v>589</v>
      </c>
      <c r="AS397" t="s">
        <v>590</v>
      </c>
      <c r="AT397" t="s">
        <v>6017</v>
      </c>
      <c r="AU397">
        <v>2003</v>
      </c>
      <c r="AV397">
        <v>108</v>
      </c>
      <c r="AW397" t="s">
        <v>6018</v>
      </c>
      <c r="AX397" t="s">
        <v>74</v>
      </c>
      <c r="AY397" t="s">
        <v>74</v>
      </c>
      <c r="AZ397" t="s">
        <v>74</v>
      </c>
      <c r="BA397" t="s">
        <v>74</v>
      </c>
      <c r="BB397" t="s">
        <v>74</v>
      </c>
      <c r="BC397" t="s">
        <v>74</v>
      </c>
      <c r="BD397">
        <v>4343</v>
      </c>
      <c r="BE397" t="s">
        <v>6019</v>
      </c>
      <c r="BF397" t="str">
        <f>HYPERLINK("http://dx.doi.org/10.1029/2002JD002943","http://dx.doi.org/10.1029/2002JD002943")</f>
        <v>http://dx.doi.org/10.1029/2002JD002943</v>
      </c>
      <c r="BG397" t="s">
        <v>74</v>
      </c>
      <c r="BH397" t="s">
        <v>74</v>
      </c>
      <c r="BI397">
        <v>19</v>
      </c>
      <c r="BJ397" t="s">
        <v>93</v>
      </c>
      <c r="BK397" t="s">
        <v>94</v>
      </c>
      <c r="BL397" t="s">
        <v>93</v>
      </c>
      <c r="BM397" t="s">
        <v>6020</v>
      </c>
      <c r="BN397" t="s">
        <v>74</v>
      </c>
      <c r="BO397" t="s">
        <v>96</v>
      </c>
      <c r="BP397" t="s">
        <v>74</v>
      </c>
      <c r="BQ397" t="s">
        <v>74</v>
      </c>
      <c r="BR397" t="s">
        <v>97</v>
      </c>
      <c r="BS397" t="s">
        <v>6021</v>
      </c>
      <c r="BT397" t="str">
        <f>HYPERLINK("https%3A%2F%2Fwww.webofscience.com%2Fwos%2Fwoscc%2Ffull-record%2FWOS:000183627700001","View Full Record in Web of Science")</f>
        <v>View Full Record in Web of Science</v>
      </c>
    </row>
    <row r="398" spans="1:72" x14ac:dyDescent="0.15">
      <c r="A398" t="s">
        <v>72</v>
      </c>
      <c r="B398" t="s">
        <v>6022</v>
      </c>
      <c r="C398" t="s">
        <v>74</v>
      </c>
      <c r="D398" t="s">
        <v>74</v>
      </c>
      <c r="E398" t="s">
        <v>74</v>
      </c>
      <c r="F398" t="s">
        <v>6022</v>
      </c>
      <c r="G398" t="s">
        <v>74</v>
      </c>
      <c r="H398" t="s">
        <v>74</v>
      </c>
      <c r="I398" t="s">
        <v>6023</v>
      </c>
      <c r="J398" t="s">
        <v>530</v>
      </c>
      <c r="K398" t="s">
        <v>74</v>
      </c>
      <c r="L398" t="s">
        <v>74</v>
      </c>
      <c r="M398" t="s">
        <v>77</v>
      </c>
      <c r="N398" t="s">
        <v>78</v>
      </c>
      <c r="O398" t="s">
        <v>74</v>
      </c>
      <c r="P398" t="s">
        <v>74</v>
      </c>
      <c r="Q398" t="s">
        <v>74</v>
      </c>
      <c r="R398" t="s">
        <v>74</v>
      </c>
      <c r="S398" t="s">
        <v>74</v>
      </c>
      <c r="T398" t="s">
        <v>74</v>
      </c>
      <c r="U398" t="s">
        <v>6024</v>
      </c>
      <c r="V398" t="s">
        <v>6025</v>
      </c>
      <c r="W398" t="s">
        <v>6026</v>
      </c>
      <c r="X398" t="s">
        <v>5334</v>
      </c>
      <c r="Y398" t="s">
        <v>6027</v>
      </c>
      <c r="Z398" t="s">
        <v>6028</v>
      </c>
      <c r="AA398" t="s">
        <v>6029</v>
      </c>
      <c r="AB398" t="s">
        <v>6030</v>
      </c>
      <c r="AC398" t="s">
        <v>74</v>
      </c>
      <c r="AD398" t="s">
        <v>74</v>
      </c>
      <c r="AE398" t="s">
        <v>74</v>
      </c>
      <c r="AF398" t="s">
        <v>74</v>
      </c>
      <c r="AG398">
        <v>19</v>
      </c>
      <c r="AH398">
        <v>78</v>
      </c>
      <c r="AI398">
        <v>79</v>
      </c>
      <c r="AJ398">
        <v>0</v>
      </c>
      <c r="AK398">
        <v>12</v>
      </c>
      <c r="AL398" t="s">
        <v>539</v>
      </c>
      <c r="AM398" t="s">
        <v>540</v>
      </c>
      <c r="AN398" t="s">
        <v>541</v>
      </c>
      <c r="AO398" t="s">
        <v>542</v>
      </c>
      <c r="AP398" t="s">
        <v>543</v>
      </c>
      <c r="AQ398" t="s">
        <v>74</v>
      </c>
      <c r="AR398" t="s">
        <v>544</v>
      </c>
      <c r="AS398" t="s">
        <v>545</v>
      </c>
      <c r="AT398" t="s">
        <v>6031</v>
      </c>
      <c r="AU398">
        <v>2003</v>
      </c>
      <c r="AV398">
        <v>30</v>
      </c>
      <c r="AW398">
        <v>11</v>
      </c>
      <c r="AX398" t="s">
        <v>74</v>
      </c>
      <c r="AY398" t="s">
        <v>74</v>
      </c>
      <c r="AZ398" t="s">
        <v>74</v>
      </c>
      <c r="BA398" t="s">
        <v>74</v>
      </c>
      <c r="BB398" t="s">
        <v>74</v>
      </c>
      <c r="BC398" t="s">
        <v>74</v>
      </c>
      <c r="BD398">
        <v>1580</v>
      </c>
      <c r="BE398" t="s">
        <v>6032</v>
      </c>
      <c r="BF398" t="str">
        <f>HYPERLINK("http://dx.doi.org/10.1029/2002GL016798","http://dx.doi.org/10.1029/2002GL016798")</f>
        <v>http://dx.doi.org/10.1029/2002GL016798</v>
      </c>
      <c r="BG398" t="s">
        <v>74</v>
      </c>
      <c r="BH398" t="s">
        <v>74</v>
      </c>
      <c r="BI398">
        <v>4</v>
      </c>
      <c r="BJ398" t="s">
        <v>548</v>
      </c>
      <c r="BK398" t="s">
        <v>94</v>
      </c>
      <c r="BL398" t="s">
        <v>549</v>
      </c>
      <c r="BM398" t="s">
        <v>6033</v>
      </c>
      <c r="BN398" t="s">
        <v>74</v>
      </c>
      <c r="BO398" t="s">
        <v>74</v>
      </c>
      <c r="BP398" t="s">
        <v>74</v>
      </c>
      <c r="BQ398" t="s">
        <v>74</v>
      </c>
      <c r="BR398" t="s">
        <v>97</v>
      </c>
      <c r="BS398" t="s">
        <v>6034</v>
      </c>
      <c r="BT398" t="str">
        <f>HYPERLINK("https%3A%2F%2Fwww.webofscience.com%2Fwos%2Fwoscc%2Ffull-record%2FWOS:000183625200002","View Full Record in Web of Science")</f>
        <v>View Full Record in Web of Science</v>
      </c>
    </row>
    <row r="399" spans="1:72" x14ac:dyDescent="0.15">
      <c r="A399" t="s">
        <v>72</v>
      </c>
      <c r="B399" t="s">
        <v>6035</v>
      </c>
      <c r="C399" t="s">
        <v>74</v>
      </c>
      <c r="D399" t="s">
        <v>74</v>
      </c>
      <c r="E399" t="s">
        <v>74</v>
      </c>
      <c r="F399" t="s">
        <v>6035</v>
      </c>
      <c r="G399" t="s">
        <v>74</v>
      </c>
      <c r="H399" t="s">
        <v>74</v>
      </c>
      <c r="I399" t="s">
        <v>6036</v>
      </c>
      <c r="J399" t="s">
        <v>530</v>
      </c>
      <c r="K399" t="s">
        <v>74</v>
      </c>
      <c r="L399" t="s">
        <v>74</v>
      </c>
      <c r="M399" t="s">
        <v>77</v>
      </c>
      <c r="N399" t="s">
        <v>78</v>
      </c>
      <c r="O399" t="s">
        <v>74</v>
      </c>
      <c r="P399" t="s">
        <v>74</v>
      </c>
      <c r="Q399" t="s">
        <v>74</v>
      </c>
      <c r="R399" t="s">
        <v>74</v>
      </c>
      <c r="S399" t="s">
        <v>74</v>
      </c>
      <c r="T399" t="s">
        <v>74</v>
      </c>
      <c r="U399" t="s">
        <v>6037</v>
      </c>
      <c r="V399" t="s">
        <v>6038</v>
      </c>
      <c r="W399" t="s">
        <v>6026</v>
      </c>
      <c r="X399" t="s">
        <v>5334</v>
      </c>
      <c r="Y399" t="s">
        <v>6039</v>
      </c>
      <c r="Z399" t="s">
        <v>74</v>
      </c>
      <c r="AA399" t="s">
        <v>6040</v>
      </c>
      <c r="AB399" t="s">
        <v>6041</v>
      </c>
      <c r="AC399" t="s">
        <v>74</v>
      </c>
      <c r="AD399" t="s">
        <v>74</v>
      </c>
      <c r="AE399" t="s">
        <v>74</v>
      </c>
      <c r="AF399" t="s">
        <v>74</v>
      </c>
      <c r="AG399">
        <v>26</v>
      </c>
      <c r="AH399">
        <v>76</v>
      </c>
      <c r="AI399">
        <v>77</v>
      </c>
      <c r="AJ399">
        <v>0</v>
      </c>
      <c r="AK399">
        <v>11</v>
      </c>
      <c r="AL399" t="s">
        <v>539</v>
      </c>
      <c r="AM399" t="s">
        <v>540</v>
      </c>
      <c r="AN399" t="s">
        <v>541</v>
      </c>
      <c r="AO399" t="s">
        <v>542</v>
      </c>
      <c r="AP399" t="s">
        <v>74</v>
      </c>
      <c r="AQ399" t="s">
        <v>74</v>
      </c>
      <c r="AR399" t="s">
        <v>544</v>
      </c>
      <c r="AS399" t="s">
        <v>545</v>
      </c>
      <c r="AT399" t="s">
        <v>6031</v>
      </c>
      <c r="AU399">
        <v>2003</v>
      </c>
      <c r="AV399">
        <v>30</v>
      </c>
      <c r="AW399">
        <v>11</v>
      </c>
      <c r="AX399" t="s">
        <v>74</v>
      </c>
      <c r="AY399" t="s">
        <v>74</v>
      </c>
      <c r="AZ399" t="s">
        <v>74</v>
      </c>
      <c r="BA399" t="s">
        <v>74</v>
      </c>
      <c r="BB399" t="s">
        <v>74</v>
      </c>
      <c r="BC399" t="s">
        <v>74</v>
      </c>
      <c r="BD399">
        <v>1583</v>
      </c>
      <c r="BE399" t="s">
        <v>6042</v>
      </c>
      <c r="BF399" t="str">
        <f>HYPERLINK("http://dx.doi.org/10.1029/2002GL016799","http://dx.doi.org/10.1029/2002GL016799")</f>
        <v>http://dx.doi.org/10.1029/2002GL016799</v>
      </c>
      <c r="BG399" t="s">
        <v>74</v>
      </c>
      <c r="BH399" t="s">
        <v>74</v>
      </c>
      <c r="BI399">
        <v>4</v>
      </c>
      <c r="BJ399" t="s">
        <v>548</v>
      </c>
      <c r="BK399" t="s">
        <v>94</v>
      </c>
      <c r="BL399" t="s">
        <v>549</v>
      </c>
      <c r="BM399" t="s">
        <v>6033</v>
      </c>
      <c r="BN399" t="s">
        <v>74</v>
      </c>
      <c r="BO399" t="s">
        <v>96</v>
      </c>
      <c r="BP399" t="s">
        <v>74</v>
      </c>
      <c r="BQ399" t="s">
        <v>74</v>
      </c>
      <c r="BR399" t="s">
        <v>97</v>
      </c>
      <c r="BS399" t="s">
        <v>6043</v>
      </c>
      <c r="BT399" t="str">
        <f>HYPERLINK("https%3A%2F%2Fwww.webofscience.com%2Fwos%2Fwoscc%2Ffull-record%2FWOS:000183625200003","View Full Record in Web of Science")</f>
        <v>View Full Record in Web of Science</v>
      </c>
    </row>
    <row r="400" spans="1:72" x14ac:dyDescent="0.15">
      <c r="A400" t="s">
        <v>72</v>
      </c>
      <c r="B400" t="s">
        <v>6044</v>
      </c>
      <c r="C400" t="s">
        <v>74</v>
      </c>
      <c r="D400" t="s">
        <v>74</v>
      </c>
      <c r="E400" t="s">
        <v>74</v>
      </c>
      <c r="F400" t="s">
        <v>6044</v>
      </c>
      <c r="G400" t="s">
        <v>74</v>
      </c>
      <c r="H400" t="s">
        <v>74</v>
      </c>
      <c r="I400" t="s">
        <v>6045</v>
      </c>
      <c r="J400" t="s">
        <v>2760</v>
      </c>
      <c r="K400" t="s">
        <v>74</v>
      </c>
      <c r="L400" t="s">
        <v>74</v>
      </c>
      <c r="M400" t="s">
        <v>77</v>
      </c>
      <c r="N400" t="s">
        <v>78</v>
      </c>
      <c r="O400" t="s">
        <v>74</v>
      </c>
      <c r="P400" t="s">
        <v>74</v>
      </c>
      <c r="Q400" t="s">
        <v>74</v>
      </c>
      <c r="R400" t="s">
        <v>74</v>
      </c>
      <c r="S400" t="s">
        <v>74</v>
      </c>
      <c r="T400" t="s">
        <v>74</v>
      </c>
      <c r="U400" t="s">
        <v>74</v>
      </c>
      <c r="V400" t="s">
        <v>6046</v>
      </c>
      <c r="W400" t="s">
        <v>6047</v>
      </c>
      <c r="X400" t="s">
        <v>6048</v>
      </c>
      <c r="Y400" t="s">
        <v>6049</v>
      </c>
      <c r="Z400" t="s">
        <v>74</v>
      </c>
      <c r="AA400" t="s">
        <v>74</v>
      </c>
      <c r="AB400" t="s">
        <v>74</v>
      </c>
      <c r="AC400" t="s">
        <v>74</v>
      </c>
      <c r="AD400" t="s">
        <v>74</v>
      </c>
      <c r="AE400" t="s">
        <v>74</v>
      </c>
      <c r="AF400" t="s">
        <v>74</v>
      </c>
      <c r="AG400">
        <v>12</v>
      </c>
      <c r="AH400">
        <v>12</v>
      </c>
      <c r="AI400">
        <v>13</v>
      </c>
      <c r="AJ400">
        <v>0</v>
      </c>
      <c r="AK400">
        <v>1</v>
      </c>
      <c r="AL400" t="s">
        <v>1651</v>
      </c>
      <c r="AM400" t="s">
        <v>1652</v>
      </c>
      <c r="AN400" t="s">
        <v>1653</v>
      </c>
      <c r="AO400" t="s">
        <v>2767</v>
      </c>
      <c r="AP400" t="s">
        <v>74</v>
      </c>
      <c r="AQ400" t="s">
        <v>74</v>
      </c>
      <c r="AR400" t="s">
        <v>2768</v>
      </c>
      <c r="AS400" t="s">
        <v>2769</v>
      </c>
      <c r="AT400" t="s">
        <v>6031</v>
      </c>
      <c r="AU400">
        <v>2003</v>
      </c>
      <c r="AV400">
        <v>24</v>
      </c>
      <c r="AW400">
        <v>11</v>
      </c>
      <c r="AX400" t="s">
        <v>74</v>
      </c>
      <c r="AY400" t="s">
        <v>74</v>
      </c>
      <c r="AZ400" t="s">
        <v>74</v>
      </c>
      <c r="BA400" t="s">
        <v>74</v>
      </c>
      <c r="BB400">
        <v>2277</v>
      </c>
      <c r="BC400">
        <v>2287</v>
      </c>
      <c r="BD400" t="s">
        <v>74</v>
      </c>
      <c r="BE400" t="s">
        <v>6050</v>
      </c>
      <c r="BF400" t="str">
        <f>HYPERLINK("http://dx.doi.org/10.1080/01431160210154975","http://dx.doi.org/10.1080/01431160210154975")</f>
        <v>http://dx.doi.org/10.1080/01431160210154975</v>
      </c>
      <c r="BG400" t="s">
        <v>74</v>
      </c>
      <c r="BH400" t="s">
        <v>74</v>
      </c>
      <c r="BI400">
        <v>11</v>
      </c>
      <c r="BJ400" t="s">
        <v>2772</v>
      </c>
      <c r="BK400" t="s">
        <v>94</v>
      </c>
      <c r="BL400" t="s">
        <v>2772</v>
      </c>
      <c r="BM400" t="s">
        <v>6051</v>
      </c>
      <c r="BN400" t="s">
        <v>74</v>
      </c>
      <c r="BO400" t="s">
        <v>74</v>
      </c>
      <c r="BP400" t="s">
        <v>74</v>
      </c>
      <c r="BQ400" t="s">
        <v>74</v>
      </c>
      <c r="BR400" t="s">
        <v>97</v>
      </c>
      <c r="BS400" t="s">
        <v>6052</v>
      </c>
      <c r="BT400" t="str">
        <f>HYPERLINK("https%3A%2F%2Fwww.webofscience.com%2Fwos%2Fwoscc%2Ffull-record%2FWOS:000182756100006","View Full Record in Web of Science")</f>
        <v>View Full Record in Web of Science</v>
      </c>
    </row>
    <row r="401" spans="1:72" x14ac:dyDescent="0.15">
      <c r="A401" t="s">
        <v>72</v>
      </c>
      <c r="B401" t="s">
        <v>6053</v>
      </c>
      <c r="C401" t="s">
        <v>74</v>
      </c>
      <c r="D401" t="s">
        <v>74</v>
      </c>
      <c r="E401" t="s">
        <v>74</v>
      </c>
      <c r="F401" t="s">
        <v>6053</v>
      </c>
      <c r="G401" t="s">
        <v>74</v>
      </c>
      <c r="H401" t="s">
        <v>74</v>
      </c>
      <c r="I401" t="s">
        <v>6054</v>
      </c>
      <c r="J401" t="s">
        <v>2922</v>
      </c>
      <c r="K401" t="s">
        <v>74</v>
      </c>
      <c r="L401" t="s">
        <v>74</v>
      </c>
      <c r="M401" t="s">
        <v>77</v>
      </c>
      <c r="N401" t="s">
        <v>78</v>
      </c>
      <c r="O401" t="s">
        <v>74</v>
      </c>
      <c r="P401" t="s">
        <v>74</v>
      </c>
      <c r="Q401" t="s">
        <v>74</v>
      </c>
      <c r="R401" t="s">
        <v>74</v>
      </c>
      <c r="S401" t="s">
        <v>74</v>
      </c>
      <c r="T401" t="s">
        <v>6055</v>
      </c>
      <c r="U401" t="s">
        <v>6056</v>
      </c>
      <c r="V401" t="s">
        <v>6057</v>
      </c>
      <c r="W401" t="s">
        <v>1164</v>
      </c>
      <c r="X401" t="s">
        <v>1165</v>
      </c>
      <c r="Y401" t="s">
        <v>1166</v>
      </c>
      <c r="Z401" t="s">
        <v>6058</v>
      </c>
      <c r="AA401" t="s">
        <v>6059</v>
      </c>
      <c r="AB401" t="s">
        <v>6060</v>
      </c>
      <c r="AC401" t="s">
        <v>74</v>
      </c>
      <c r="AD401" t="s">
        <v>74</v>
      </c>
      <c r="AE401" t="s">
        <v>74</v>
      </c>
      <c r="AF401" t="s">
        <v>74</v>
      </c>
      <c r="AG401">
        <v>80</v>
      </c>
      <c r="AH401">
        <v>41</v>
      </c>
      <c r="AI401">
        <v>43</v>
      </c>
      <c r="AJ401">
        <v>0</v>
      </c>
      <c r="AK401">
        <v>6</v>
      </c>
      <c r="AL401" t="s">
        <v>781</v>
      </c>
      <c r="AM401" t="s">
        <v>111</v>
      </c>
      <c r="AN401" t="s">
        <v>782</v>
      </c>
      <c r="AO401" t="s">
        <v>2931</v>
      </c>
      <c r="AP401" t="s">
        <v>2932</v>
      </c>
      <c r="AQ401" t="s">
        <v>74</v>
      </c>
      <c r="AR401" t="s">
        <v>2933</v>
      </c>
      <c r="AS401" t="s">
        <v>2934</v>
      </c>
      <c r="AT401" t="s">
        <v>6031</v>
      </c>
      <c r="AU401">
        <v>2003</v>
      </c>
      <c r="AV401">
        <v>290</v>
      </c>
      <c r="AW401">
        <v>2</v>
      </c>
      <c r="AX401" t="s">
        <v>74</v>
      </c>
      <c r="AY401" t="s">
        <v>74</v>
      </c>
      <c r="AZ401" t="s">
        <v>74</v>
      </c>
      <c r="BA401" t="s">
        <v>74</v>
      </c>
      <c r="BB401">
        <v>197</v>
      </c>
      <c r="BC401">
        <v>210</v>
      </c>
      <c r="BD401" t="s">
        <v>74</v>
      </c>
      <c r="BE401" t="s">
        <v>6061</v>
      </c>
      <c r="BF401" t="str">
        <f>HYPERLINK("http://dx.doi.org/10.1016/S0022-0981(03)00075-3","http://dx.doi.org/10.1016/S0022-0981(03)00075-3")</f>
        <v>http://dx.doi.org/10.1016/S0022-0981(03)00075-3</v>
      </c>
      <c r="BG401" t="s">
        <v>74</v>
      </c>
      <c r="BH401" t="s">
        <v>74</v>
      </c>
      <c r="BI401">
        <v>14</v>
      </c>
      <c r="BJ401" t="s">
        <v>485</v>
      </c>
      <c r="BK401" t="s">
        <v>94</v>
      </c>
      <c r="BL401" t="s">
        <v>486</v>
      </c>
      <c r="BM401" t="s">
        <v>6062</v>
      </c>
      <c r="BN401" t="s">
        <v>74</v>
      </c>
      <c r="BO401" t="s">
        <v>74</v>
      </c>
      <c r="BP401" t="s">
        <v>74</v>
      </c>
      <c r="BQ401" t="s">
        <v>74</v>
      </c>
      <c r="BR401" t="s">
        <v>97</v>
      </c>
      <c r="BS401" t="s">
        <v>6063</v>
      </c>
      <c r="BT401" t="str">
        <f>HYPERLINK("https%3A%2F%2Fwww.webofscience.com%2Fwos%2Fwoscc%2Ffull-record%2FWOS:000182943800004","View Full Record in Web of Science")</f>
        <v>View Full Record in Web of Science</v>
      </c>
    </row>
    <row r="402" spans="1:72" x14ac:dyDescent="0.15">
      <c r="A402" t="s">
        <v>72</v>
      </c>
      <c r="B402" t="s">
        <v>6064</v>
      </c>
      <c r="C402" t="s">
        <v>74</v>
      </c>
      <c r="D402" t="s">
        <v>74</v>
      </c>
      <c r="E402" t="s">
        <v>74</v>
      </c>
      <c r="F402" t="s">
        <v>6064</v>
      </c>
      <c r="G402" t="s">
        <v>74</v>
      </c>
      <c r="H402" t="s">
        <v>74</v>
      </c>
      <c r="I402" t="s">
        <v>6065</v>
      </c>
      <c r="J402" t="s">
        <v>4474</v>
      </c>
      <c r="K402" t="s">
        <v>74</v>
      </c>
      <c r="L402" t="s">
        <v>74</v>
      </c>
      <c r="M402" t="s">
        <v>77</v>
      </c>
      <c r="N402" t="s">
        <v>78</v>
      </c>
      <c r="O402" t="s">
        <v>74</v>
      </c>
      <c r="P402" t="s">
        <v>74</v>
      </c>
      <c r="Q402" t="s">
        <v>74</v>
      </c>
      <c r="R402" t="s">
        <v>74</v>
      </c>
      <c r="S402" t="s">
        <v>74</v>
      </c>
      <c r="T402" t="s">
        <v>74</v>
      </c>
      <c r="U402" t="s">
        <v>6066</v>
      </c>
      <c r="V402" t="s">
        <v>6067</v>
      </c>
      <c r="W402" t="s">
        <v>6068</v>
      </c>
      <c r="X402" t="s">
        <v>6069</v>
      </c>
      <c r="Y402" t="s">
        <v>6070</v>
      </c>
      <c r="Z402" t="s">
        <v>6071</v>
      </c>
      <c r="AA402" t="s">
        <v>4803</v>
      </c>
      <c r="AB402" t="s">
        <v>74</v>
      </c>
      <c r="AC402" t="s">
        <v>74</v>
      </c>
      <c r="AD402" t="s">
        <v>74</v>
      </c>
      <c r="AE402" t="s">
        <v>74</v>
      </c>
      <c r="AF402" t="s">
        <v>74</v>
      </c>
      <c r="AG402">
        <v>47</v>
      </c>
      <c r="AH402">
        <v>56</v>
      </c>
      <c r="AI402">
        <v>60</v>
      </c>
      <c r="AJ402">
        <v>0</v>
      </c>
      <c r="AK402">
        <v>8</v>
      </c>
      <c r="AL402" t="s">
        <v>6072</v>
      </c>
      <c r="AM402" t="s">
        <v>6073</v>
      </c>
      <c r="AN402" t="s">
        <v>6074</v>
      </c>
      <c r="AO402" t="s">
        <v>6075</v>
      </c>
      <c r="AP402" t="s">
        <v>4480</v>
      </c>
      <c r="AQ402" t="s">
        <v>74</v>
      </c>
      <c r="AR402" t="s">
        <v>4481</v>
      </c>
      <c r="AS402" t="s">
        <v>4482</v>
      </c>
      <c r="AT402" t="s">
        <v>6076</v>
      </c>
      <c r="AU402">
        <v>2003</v>
      </c>
      <c r="AV402">
        <v>3</v>
      </c>
      <c r="AW402" t="s">
        <v>74</v>
      </c>
      <c r="AX402" t="s">
        <v>74</v>
      </c>
      <c r="AY402" t="s">
        <v>74</v>
      </c>
      <c r="AZ402" t="s">
        <v>74</v>
      </c>
      <c r="BA402" t="s">
        <v>74</v>
      </c>
      <c r="BB402">
        <v>651</v>
      </c>
      <c r="BC402">
        <v>663</v>
      </c>
      <c r="BD402" t="s">
        <v>74</v>
      </c>
      <c r="BE402" t="s">
        <v>6077</v>
      </c>
      <c r="BF402" t="str">
        <f>HYPERLINK("http://dx.doi.org/10.5194/acp-3-651-2003","http://dx.doi.org/10.5194/acp-3-651-2003")</f>
        <v>http://dx.doi.org/10.5194/acp-3-651-2003</v>
      </c>
      <c r="BG402" t="s">
        <v>74</v>
      </c>
      <c r="BH402" t="s">
        <v>74</v>
      </c>
      <c r="BI402">
        <v>13</v>
      </c>
      <c r="BJ402" t="s">
        <v>4485</v>
      </c>
      <c r="BK402" t="s">
        <v>94</v>
      </c>
      <c r="BL402" t="s">
        <v>4486</v>
      </c>
      <c r="BM402" t="s">
        <v>6078</v>
      </c>
      <c r="BN402" t="s">
        <v>74</v>
      </c>
      <c r="BO402" t="s">
        <v>6079</v>
      </c>
      <c r="BP402" t="s">
        <v>74</v>
      </c>
      <c r="BQ402" t="s">
        <v>74</v>
      </c>
      <c r="BR402" t="s">
        <v>97</v>
      </c>
      <c r="BS402" t="s">
        <v>6080</v>
      </c>
      <c r="BT402" t="str">
        <f>HYPERLINK("https%3A%2F%2Fwww.webofscience.com%2Fwos%2Fwoscc%2Ffull-record%2FWOS:000183456700005","View Full Record in Web of Science")</f>
        <v>View Full Record in Web of Science</v>
      </c>
    </row>
    <row r="403" spans="1:72" x14ac:dyDescent="0.15">
      <c r="A403" t="s">
        <v>72</v>
      </c>
      <c r="B403" t="s">
        <v>6081</v>
      </c>
      <c r="C403" t="s">
        <v>74</v>
      </c>
      <c r="D403" t="s">
        <v>74</v>
      </c>
      <c r="E403" t="s">
        <v>74</v>
      </c>
      <c r="F403" t="s">
        <v>6081</v>
      </c>
      <c r="G403" t="s">
        <v>74</v>
      </c>
      <c r="H403" t="s">
        <v>74</v>
      </c>
      <c r="I403" t="s">
        <v>6082</v>
      </c>
      <c r="J403" t="s">
        <v>6083</v>
      </c>
      <c r="K403" t="s">
        <v>74</v>
      </c>
      <c r="L403" t="s">
        <v>74</v>
      </c>
      <c r="M403" t="s">
        <v>77</v>
      </c>
      <c r="N403" t="s">
        <v>78</v>
      </c>
      <c r="O403" t="s">
        <v>74</v>
      </c>
      <c r="P403" t="s">
        <v>74</v>
      </c>
      <c r="Q403" t="s">
        <v>74</v>
      </c>
      <c r="R403" t="s">
        <v>74</v>
      </c>
      <c r="S403" t="s">
        <v>74</v>
      </c>
      <c r="T403" t="s">
        <v>74</v>
      </c>
      <c r="U403" t="s">
        <v>74</v>
      </c>
      <c r="V403" t="s">
        <v>6084</v>
      </c>
      <c r="W403" t="s">
        <v>6085</v>
      </c>
      <c r="X403" t="s">
        <v>6086</v>
      </c>
      <c r="Y403" t="s">
        <v>6087</v>
      </c>
      <c r="Z403" t="s">
        <v>6088</v>
      </c>
      <c r="AA403" t="s">
        <v>74</v>
      </c>
      <c r="AB403" t="s">
        <v>74</v>
      </c>
      <c r="AC403" t="s">
        <v>74</v>
      </c>
      <c r="AD403" t="s">
        <v>74</v>
      </c>
      <c r="AE403" t="s">
        <v>74</v>
      </c>
      <c r="AF403" t="s">
        <v>74</v>
      </c>
      <c r="AG403">
        <v>9</v>
      </c>
      <c r="AH403">
        <v>29</v>
      </c>
      <c r="AI403">
        <v>29</v>
      </c>
      <c r="AJ403">
        <v>0</v>
      </c>
      <c r="AK403">
        <v>5</v>
      </c>
      <c r="AL403" t="s">
        <v>539</v>
      </c>
      <c r="AM403" t="s">
        <v>540</v>
      </c>
      <c r="AN403" t="s">
        <v>541</v>
      </c>
      <c r="AO403" t="s">
        <v>6089</v>
      </c>
      <c r="AP403" t="s">
        <v>6090</v>
      </c>
      <c r="AQ403" t="s">
        <v>74</v>
      </c>
      <c r="AR403" t="s">
        <v>6091</v>
      </c>
      <c r="AS403" t="s">
        <v>6092</v>
      </c>
      <c r="AT403" t="s">
        <v>6076</v>
      </c>
      <c r="AU403">
        <v>2003</v>
      </c>
      <c r="AV403">
        <v>38</v>
      </c>
      <c r="AW403">
        <v>4</v>
      </c>
      <c r="AX403" t="s">
        <v>74</v>
      </c>
      <c r="AY403" t="s">
        <v>74</v>
      </c>
      <c r="AZ403" t="s">
        <v>74</v>
      </c>
      <c r="BA403" t="s">
        <v>74</v>
      </c>
      <c r="BB403" t="s">
        <v>74</v>
      </c>
      <c r="BC403" t="s">
        <v>74</v>
      </c>
      <c r="BD403">
        <v>8067</v>
      </c>
      <c r="BE403" t="s">
        <v>6093</v>
      </c>
      <c r="BF403" t="str">
        <f>HYPERLINK("http://dx.doi.org/10.1029/2002RS002643","http://dx.doi.org/10.1029/2002RS002643")</f>
        <v>http://dx.doi.org/10.1029/2002RS002643</v>
      </c>
      <c r="BG403" t="s">
        <v>74</v>
      </c>
      <c r="BH403" t="s">
        <v>74</v>
      </c>
      <c r="BI403">
        <v>7</v>
      </c>
      <c r="BJ403" t="s">
        <v>6094</v>
      </c>
      <c r="BK403" t="s">
        <v>94</v>
      </c>
      <c r="BL403" t="s">
        <v>6094</v>
      </c>
      <c r="BM403" t="s">
        <v>6095</v>
      </c>
      <c r="BN403" t="s">
        <v>74</v>
      </c>
      <c r="BO403" t="s">
        <v>74</v>
      </c>
      <c r="BP403" t="s">
        <v>74</v>
      </c>
      <c r="BQ403" t="s">
        <v>74</v>
      </c>
      <c r="BR403" t="s">
        <v>97</v>
      </c>
      <c r="BS403" t="s">
        <v>6096</v>
      </c>
      <c r="BT403" t="str">
        <f>HYPERLINK("https%3A%2F%2Fwww.webofscience.com%2Fwos%2Fwoscc%2Ffull-record%2FWOS:000183558200001","View Full Record in Web of Science")</f>
        <v>View Full Record in Web of Science</v>
      </c>
    </row>
    <row r="404" spans="1:72" x14ac:dyDescent="0.15">
      <c r="A404" t="s">
        <v>72</v>
      </c>
      <c r="B404" t="s">
        <v>6097</v>
      </c>
      <c r="C404" t="s">
        <v>74</v>
      </c>
      <c r="D404" t="s">
        <v>74</v>
      </c>
      <c r="E404" t="s">
        <v>74</v>
      </c>
      <c r="F404" t="s">
        <v>6097</v>
      </c>
      <c r="G404" t="s">
        <v>74</v>
      </c>
      <c r="H404" t="s">
        <v>74</v>
      </c>
      <c r="I404" t="s">
        <v>6098</v>
      </c>
      <c r="J404" t="s">
        <v>578</v>
      </c>
      <c r="K404" t="s">
        <v>74</v>
      </c>
      <c r="L404" t="s">
        <v>74</v>
      </c>
      <c r="M404" t="s">
        <v>77</v>
      </c>
      <c r="N404" t="s">
        <v>78</v>
      </c>
      <c r="O404" t="s">
        <v>74</v>
      </c>
      <c r="P404" t="s">
        <v>74</v>
      </c>
      <c r="Q404" t="s">
        <v>74</v>
      </c>
      <c r="R404" t="s">
        <v>74</v>
      </c>
      <c r="S404" t="s">
        <v>74</v>
      </c>
      <c r="T404" t="s">
        <v>6099</v>
      </c>
      <c r="U404" t="s">
        <v>6100</v>
      </c>
      <c r="V404" t="s">
        <v>6101</v>
      </c>
      <c r="W404" t="s">
        <v>6102</v>
      </c>
      <c r="X404" t="s">
        <v>6103</v>
      </c>
      <c r="Y404" t="s">
        <v>6104</v>
      </c>
      <c r="Z404" t="s">
        <v>6105</v>
      </c>
      <c r="AA404" t="s">
        <v>6106</v>
      </c>
      <c r="AB404" t="s">
        <v>6107</v>
      </c>
      <c r="AC404" t="s">
        <v>74</v>
      </c>
      <c r="AD404" t="s">
        <v>74</v>
      </c>
      <c r="AE404" t="s">
        <v>74</v>
      </c>
      <c r="AF404" t="s">
        <v>74</v>
      </c>
      <c r="AG404">
        <v>51</v>
      </c>
      <c r="AH404">
        <v>46</v>
      </c>
      <c r="AI404">
        <v>52</v>
      </c>
      <c r="AJ404">
        <v>2</v>
      </c>
      <c r="AK404">
        <v>27</v>
      </c>
      <c r="AL404" t="s">
        <v>539</v>
      </c>
      <c r="AM404" t="s">
        <v>540</v>
      </c>
      <c r="AN404" t="s">
        <v>541</v>
      </c>
      <c r="AO404" t="s">
        <v>588</v>
      </c>
      <c r="AP404" t="s">
        <v>605</v>
      </c>
      <c r="AQ404" t="s">
        <v>74</v>
      </c>
      <c r="AR404" t="s">
        <v>589</v>
      </c>
      <c r="AS404" t="s">
        <v>590</v>
      </c>
      <c r="AT404" t="s">
        <v>6108</v>
      </c>
      <c r="AU404">
        <v>2003</v>
      </c>
      <c r="AV404">
        <v>108</v>
      </c>
      <c r="AW404" t="s">
        <v>2622</v>
      </c>
      <c r="AX404" t="s">
        <v>74</v>
      </c>
      <c r="AY404" t="s">
        <v>74</v>
      </c>
      <c r="AZ404" t="s">
        <v>74</v>
      </c>
      <c r="BA404" t="s">
        <v>74</v>
      </c>
      <c r="BB404" t="s">
        <v>74</v>
      </c>
      <c r="BC404" t="s">
        <v>74</v>
      </c>
      <c r="BD404">
        <v>8544</v>
      </c>
      <c r="BE404" t="s">
        <v>6109</v>
      </c>
      <c r="BF404" t="str">
        <f>HYPERLINK("http://dx.doi.org/10.1029/2002JD002932","http://dx.doi.org/10.1029/2002JD002932")</f>
        <v>http://dx.doi.org/10.1029/2002JD002932</v>
      </c>
      <c r="BG404" t="s">
        <v>74</v>
      </c>
      <c r="BH404" t="s">
        <v>74</v>
      </c>
      <c r="BI404">
        <v>15</v>
      </c>
      <c r="BJ404" t="s">
        <v>93</v>
      </c>
      <c r="BK404" t="s">
        <v>94</v>
      </c>
      <c r="BL404" t="s">
        <v>93</v>
      </c>
      <c r="BM404" t="s">
        <v>6110</v>
      </c>
      <c r="BN404" t="s">
        <v>74</v>
      </c>
      <c r="BO404" t="s">
        <v>96</v>
      </c>
      <c r="BP404" t="s">
        <v>74</v>
      </c>
      <c r="BQ404" t="s">
        <v>74</v>
      </c>
      <c r="BR404" t="s">
        <v>97</v>
      </c>
      <c r="BS404" t="s">
        <v>6111</v>
      </c>
      <c r="BT404" t="str">
        <f>HYPERLINK("https%3A%2F%2Fwww.webofscience.com%2Fwos%2Fwoscc%2Ffull-record%2FWOS:000183555600001","View Full Record in Web of Science")</f>
        <v>View Full Record in Web of Science</v>
      </c>
    </row>
    <row r="405" spans="1:72" x14ac:dyDescent="0.15">
      <c r="A405" t="s">
        <v>72</v>
      </c>
      <c r="B405" t="s">
        <v>6112</v>
      </c>
      <c r="C405" t="s">
        <v>74</v>
      </c>
      <c r="D405" t="s">
        <v>74</v>
      </c>
      <c r="E405" t="s">
        <v>74</v>
      </c>
      <c r="F405" t="s">
        <v>6112</v>
      </c>
      <c r="G405" t="s">
        <v>74</v>
      </c>
      <c r="H405" t="s">
        <v>74</v>
      </c>
      <c r="I405" t="s">
        <v>6113</v>
      </c>
      <c r="J405" t="s">
        <v>6114</v>
      </c>
      <c r="K405" t="s">
        <v>74</v>
      </c>
      <c r="L405" t="s">
        <v>74</v>
      </c>
      <c r="M405" t="s">
        <v>77</v>
      </c>
      <c r="N405" t="s">
        <v>78</v>
      </c>
      <c r="O405" t="s">
        <v>74</v>
      </c>
      <c r="P405" t="s">
        <v>74</v>
      </c>
      <c r="Q405" t="s">
        <v>74</v>
      </c>
      <c r="R405" t="s">
        <v>74</v>
      </c>
      <c r="S405" t="s">
        <v>74</v>
      </c>
      <c r="T405" t="s">
        <v>6115</v>
      </c>
      <c r="U405" t="s">
        <v>6116</v>
      </c>
      <c r="V405" t="s">
        <v>6117</v>
      </c>
      <c r="W405" t="s">
        <v>6118</v>
      </c>
      <c r="X405" t="s">
        <v>6119</v>
      </c>
      <c r="Y405" t="s">
        <v>6120</v>
      </c>
      <c r="Z405" t="s">
        <v>74</v>
      </c>
      <c r="AA405" t="s">
        <v>74</v>
      </c>
      <c r="AB405" t="s">
        <v>74</v>
      </c>
      <c r="AC405" t="s">
        <v>74</v>
      </c>
      <c r="AD405" t="s">
        <v>74</v>
      </c>
      <c r="AE405" t="s">
        <v>74</v>
      </c>
      <c r="AF405" t="s">
        <v>74</v>
      </c>
      <c r="AG405">
        <v>13</v>
      </c>
      <c r="AH405">
        <v>6</v>
      </c>
      <c r="AI405">
        <v>8</v>
      </c>
      <c r="AJ405">
        <v>0</v>
      </c>
      <c r="AK405">
        <v>6</v>
      </c>
      <c r="AL405" t="s">
        <v>110</v>
      </c>
      <c r="AM405" t="s">
        <v>111</v>
      </c>
      <c r="AN405" t="s">
        <v>112</v>
      </c>
      <c r="AO405" t="s">
        <v>6121</v>
      </c>
      <c r="AP405" t="s">
        <v>74</v>
      </c>
      <c r="AQ405" t="s">
        <v>74</v>
      </c>
      <c r="AR405" t="s">
        <v>6122</v>
      </c>
      <c r="AS405" t="s">
        <v>6123</v>
      </c>
      <c r="AT405" t="s">
        <v>6124</v>
      </c>
      <c r="AU405">
        <v>2003</v>
      </c>
      <c r="AV405">
        <v>96</v>
      </c>
      <c r="AW405" t="s">
        <v>1894</v>
      </c>
      <c r="AX405" t="s">
        <v>74</v>
      </c>
      <c r="AY405" t="s">
        <v>74</v>
      </c>
      <c r="AZ405" t="s">
        <v>74</v>
      </c>
      <c r="BA405" t="s">
        <v>74</v>
      </c>
      <c r="BB405">
        <v>155</v>
      </c>
      <c r="BC405">
        <v>160</v>
      </c>
      <c r="BD405" t="s">
        <v>74</v>
      </c>
      <c r="BE405" t="s">
        <v>6125</v>
      </c>
      <c r="BF405" t="str">
        <f>HYPERLINK("http://dx.doi.org/10.1016/S0167-8809(02)00227-X","http://dx.doi.org/10.1016/S0167-8809(02)00227-X")</f>
        <v>http://dx.doi.org/10.1016/S0167-8809(02)00227-X</v>
      </c>
      <c r="BG405" t="s">
        <v>74</v>
      </c>
      <c r="BH405" t="s">
        <v>74</v>
      </c>
      <c r="BI405">
        <v>6</v>
      </c>
      <c r="BJ405" t="s">
        <v>6126</v>
      </c>
      <c r="BK405" t="s">
        <v>94</v>
      </c>
      <c r="BL405" t="s">
        <v>6127</v>
      </c>
      <c r="BM405" t="s">
        <v>6128</v>
      </c>
      <c r="BN405" t="s">
        <v>74</v>
      </c>
      <c r="BO405" t="s">
        <v>74</v>
      </c>
      <c r="BP405" t="s">
        <v>74</v>
      </c>
      <c r="BQ405" t="s">
        <v>74</v>
      </c>
      <c r="BR405" t="s">
        <v>97</v>
      </c>
      <c r="BS405" t="s">
        <v>6129</v>
      </c>
      <c r="BT405" t="str">
        <f>HYPERLINK("https%3A%2F%2Fwww.webofscience.com%2Fwos%2Fwoscc%2Ffull-record%2FWOS:000183576600015","View Full Record in Web of Science")</f>
        <v>View Full Record in Web of Science</v>
      </c>
    </row>
    <row r="406" spans="1:72" x14ac:dyDescent="0.15">
      <c r="A406" t="s">
        <v>72</v>
      </c>
      <c r="B406" t="s">
        <v>6130</v>
      </c>
      <c r="C406" t="s">
        <v>74</v>
      </c>
      <c r="D406" t="s">
        <v>74</v>
      </c>
      <c r="E406" t="s">
        <v>74</v>
      </c>
      <c r="F406" t="s">
        <v>6130</v>
      </c>
      <c r="G406" t="s">
        <v>74</v>
      </c>
      <c r="H406" t="s">
        <v>74</v>
      </c>
      <c r="I406" t="s">
        <v>6131</v>
      </c>
      <c r="J406" t="s">
        <v>1128</v>
      </c>
      <c r="K406" t="s">
        <v>74</v>
      </c>
      <c r="L406" t="s">
        <v>74</v>
      </c>
      <c r="M406" t="s">
        <v>77</v>
      </c>
      <c r="N406" t="s">
        <v>773</v>
      </c>
      <c r="O406" t="s">
        <v>74</v>
      </c>
      <c r="P406" t="s">
        <v>74</v>
      </c>
      <c r="Q406" t="s">
        <v>74</v>
      </c>
      <c r="R406" t="s">
        <v>74</v>
      </c>
      <c r="S406" t="s">
        <v>74</v>
      </c>
      <c r="T406" t="s">
        <v>74</v>
      </c>
      <c r="U406" t="s">
        <v>74</v>
      </c>
      <c r="V406" t="s">
        <v>74</v>
      </c>
      <c r="W406" t="s">
        <v>74</v>
      </c>
      <c r="X406" t="s">
        <v>74</v>
      </c>
      <c r="Y406" t="s">
        <v>74</v>
      </c>
      <c r="Z406" t="s">
        <v>74</v>
      </c>
      <c r="AA406" t="s">
        <v>6132</v>
      </c>
      <c r="AB406" t="s">
        <v>74</v>
      </c>
      <c r="AC406" t="s">
        <v>74</v>
      </c>
      <c r="AD406" t="s">
        <v>74</v>
      </c>
      <c r="AE406" t="s">
        <v>74</v>
      </c>
      <c r="AF406" t="s">
        <v>74</v>
      </c>
      <c r="AG406">
        <v>0</v>
      </c>
      <c r="AH406">
        <v>0</v>
      </c>
      <c r="AI406">
        <v>0</v>
      </c>
      <c r="AJ406">
        <v>0</v>
      </c>
      <c r="AK406">
        <v>1</v>
      </c>
      <c r="AL406" t="s">
        <v>228</v>
      </c>
      <c r="AM406" t="s">
        <v>229</v>
      </c>
      <c r="AN406" t="s">
        <v>1129</v>
      </c>
      <c r="AO406" t="s">
        <v>1130</v>
      </c>
      <c r="AP406" t="s">
        <v>74</v>
      </c>
      <c r="AQ406" t="s">
        <v>74</v>
      </c>
      <c r="AR406" t="s">
        <v>1131</v>
      </c>
      <c r="AS406" t="s">
        <v>1132</v>
      </c>
      <c r="AT406" t="s">
        <v>6124</v>
      </c>
      <c r="AU406">
        <v>2003</v>
      </c>
      <c r="AV406">
        <v>15</v>
      </c>
      <c r="AW406">
        <v>2</v>
      </c>
      <c r="AX406" t="s">
        <v>74</v>
      </c>
      <c r="AY406" t="s">
        <v>74</v>
      </c>
      <c r="AZ406" t="s">
        <v>74</v>
      </c>
      <c r="BA406" t="s">
        <v>74</v>
      </c>
      <c r="BB406">
        <v>173</v>
      </c>
      <c r="BC406">
        <v>173</v>
      </c>
      <c r="BD406" t="s">
        <v>74</v>
      </c>
      <c r="BE406" t="s">
        <v>6133</v>
      </c>
      <c r="BF406" t="str">
        <f>HYPERLINK("http://dx.doi.org/10.1017/S0954102003001305","http://dx.doi.org/10.1017/S0954102003001305")</f>
        <v>http://dx.doi.org/10.1017/S0954102003001305</v>
      </c>
      <c r="BG406" t="s">
        <v>74</v>
      </c>
      <c r="BH406" t="s">
        <v>74</v>
      </c>
      <c r="BI406">
        <v>1</v>
      </c>
      <c r="BJ406" t="s">
        <v>1134</v>
      </c>
      <c r="BK406" t="s">
        <v>94</v>
      </c>
      <c r="BL406" t="s">
        <v>1135</v>
      </c>
      <c r="BM406" t="s">
        <v>6134</v>
      </c>
      <c r="BN406" t="s">
        <v>74</v>
      </c>
      <c r="BO406" t="s">
        <v>96</v>
      </c>
      <c r="BP406" t="s">
        <v>74</v>
      </c>
      <c r="BQ406" t="s">
        <v>74</v>
      </c>
      <c r="BR406" t="s">
        <v>97</v>
      </c>
      <c r="BS406" t="s">
        <v>6135</v>
      </c>
      <c r="BT406" t="str">
        <f>HYPERLINK("https%3A%2F%2Fwww.webofscience.com%2Fwos%2Fwoscc%2Ffull-record%2FWOS:000183658000001","View Full Record in Web of Science")</f>
        <v>View Full Record in Web of Science</v>
      </c>
    </row>
    <row r="407" spans="1:72" x14ac:dyDescent="0.15">
      <c r="A407" t="s">
        <v>72</v>
      </c>
      <c r="B407" t="s">
        <v>6136</v>
      </c>
      <c r="C407" t="s">
        <v>74</v>
      </c>
      <c r="D407" t="s">
        <v>74</v>
      </c>
      <c r="E407" t="s">
        <v>74</v>
      </c>
      <c r="F407" t="s">
        <v>6136</v>
      </c>
      <c r="G407" t="s">
        <v>74</v>
      </c>
      <c r="H407" t="s">
        <v>74</v>
      </c>
      <c r="I407" t="s">
        <v>6137</v>
      </c>
      <c r="J407" t="s">
        <v>1128</v>
      </c>
      <c r="K407" t="s">
        <v>74</v>
      </c>
      <c r="L407" t="s">
        <v>74</v>
      </c>
      <c r="M407" t="s">
        <v>77</v>
      </c>
      <c r="N407" t="s">
        <v>6138</v>
      </c>
      <c r="O407" t="s">
        <v>74</v>
      </c>
      <c r="P407" t="s">
        <v>74</v>
      </c>
      <c r="Q407" t="s">
        <v>74</v>
      </c>
      <c r="R407" t="s">
        <v>74</v>
      </c>
      <c r="S407" t="s">
        <v>74</v>
      </c>
      <c r="T407" t="s">
        <v>74</v>
      </c>
      <c r="U407" t="s">
        <v>74</v>
      </c>
      <c r="V407" t="s">
        <v>74</v>
      </c>
      <c r="W407" t="s">
        <v>74</v>
      </c>
      <c r="X407" t="s">
        <v>74</v>
      </c>
      <c r="Y407" t="s">
        <v>74</v>
      </c>
      <c r="Z407" t="s">
        <v>74</v>
      </c>
      <c r="AA407" t="s">
        <v>74</v>
      </c>
      <c r="AB407" t="s">
        <v>6139</v>
      </c>
      <c r="AC407" t="s">
        <v>74</v>
      </c>
      <c r="AD407" t="s">
        <v>74</v>
      </c>
      <c r="AE407" t="s">
        <v>74</v>
      </c>
      <c r="AF407" t="s">
        <v>74</v>
      </c>
      <c r="AG407">
        <v>1</v>
      </c>
      <c r="AH407">
        <v>0</v>
      </c>
      <c r="AI407">
        <v>0</v>
      </c>
      <c r="AJ407">
        <v>0</v>
      </c>
      <c r="AK407">
        <v>1</v>
      </c>
      <c r="AL407" t="s">
        <v>228</v>
      </c>
      <c r="AM407" t="s">
        <v>229</v>
      </c>
      <c r="AN407" t="s">
        <v>1129</v>
      </c>
      <c r="AO407" t="s">
        <v>1130</v>
      </c>
      <c r="AP407" t="s">
        <v>74</v>
      </c>
      <c r="AQ407" t="s">
        <v>74</v>
      </c>
      <c r="AR407" t="s">
        <v>1131</v>
      </c>
      <c r="AS407" t="s">
        <v>1132</v>
      </c>
      <c r="AT407" t="s">
        <v>6124</v>
      </c>
      <c r="AU407">
        <v>2003</v>
      </c>
      <c r="AV407">
        <v>15</v>
      </c>
      <c r="AW407">
        <v>2</v>
      </c>
      <c r="AX407" t="s">
        <v>74</v>
      </c>
      <c r="AY407" t="s">
        <v>74</v>
      </c>
      <c r="AZ407" t="s">
        <v>74</v>
      </c>
      <c r="BA407" t="s">
        <v>74</v>
      </c>
      <c r="BB407">
        <v>174</v>
      </c>
      <c r="BC407">
        <v>174</v>
      </c>
      <c r="BD407" t="s">
        <v>74</v>
      </c>
      <c r="BE407" t="s">
        <v>74</v>
      </c>
      <c r="BF407" t="s">
        <v>74</v>
      </c>
      <c r="BG407" t="s">
        <v>74</v>
      </c>
      <c r="BH407" t="s">
        <v>74</v>
      </c>
      <c r="BI407">
        <v>1</v>
      </c>
      <c r="BJ407" t="s">
        <v>1134</v>
      </c>
      <c r="BK407" t="s">
        <v>94</v>
      </c>
      <c r="BL407" t="s">
        <v>1135</v>
      </c>
      <c r="BM407" t="s">
        <v>6134</v>
      </c>
      <c r="BN407" t="s">
        <v>74</v>
      </c>
      <c r="BO407" t="s">
        <v>74</v>
      </c>
      <c r="BP407" t="s">
        <v>74</v>
      </c>
      <c r="BQ407" t="s">
        <v>74</v>
      </c>
      <c r="BR407" t="s">
        <v>97</v>
      </c>
      <c r="BS407" t="s">
        <v>6140</v>
      </c>
      <c r="BT407" t="str">
        <f>HYPERLINK("https%3A%2F%2Fwww.webofscience.com%2Fwos%2Fwoscc%2Ffull-record%2FWOS:000183658000002","View Full Record in Web of Science")</f>
        <v>View Full Record in Web of Science</v>
      </c>
    </row>
    <row r="408" spans="1:72" x14ac:dyDescent="0.15">
      <c r="A408" t="s">
        <v>72</v>
      </c>
      <c r="B408" t="s">
        <v>6141</v>
      </c>
      <c r="C408" t="s">
        <v>74</v>
      </c>
      <c r="D408" t="s">
        <v>74</v>
      </c>
      <c r="E408" t="s">
        <v>74</v>
      </c>
      <c r="F408" t="s">
        <v>6141</v>
      </c>
      <c r="G408" t="s">
        <v>74</v>
      </c>
      <c r="H408" t="s">
        <v>74</v>
      </c>
      <c r="I408" t="s">
        <v>6142</v>
      </c>
      <c r="J408" t="s">
        <v>1128</v>
      </c>
      <c r="K408" t="s">
        <v>74</v>
      </c>
      <c r="L408" t="s">
        <v>74</v>
      </c>
      <c r="M408" t="s">
        <v>77</v>
      </c>
      <c r="N408" t="s">
        <v>6138</v>
      </c>
      <c r="O408" t="s">
        <v>74</v>
      </c>
      <c r="P408" t="s">
        <v>74</v>
      </c>
      <c r="Q408" t="s">
        <v>74</v>
      </c>
      <c r="R408" t="s">
        <v>74</v>
      </c>
      <c r="S408" t="s">
        <v>74</v>
      </c>
      <c r="T408" t="s">
        <v>74</v>
      </c>
      <c r="U408" t="s">
        <v>74</v>
      </c>
      <c r="V408" t="s">
        <v>74</v>
      </c>
      <c r="W408" t="s">
        <v>74</v>
      </c>
      <c r="X408" t="s">
        <v>74</v>
      </c>
      <c r="Y408" t="s">
        <v>74</v>
      </c>
      <c r="Z408" t="s">
        <v>74</v>
      </c>
      <c r="AA408" t="s">
        <v>74</v>
      </c>
      <c r="AB408" t="s">
        <v>74</v>
      </c>
      <c r="AC408" t="s">
        <v>74</v>
      </c>
      <c r="AD408" t="s">
        <v>74</v>
      </c>
      <c r="AE408" t="s">
        <v>74</v>
      </c>
      <c r="AF408" t="s">
        <v>74</v>
      </c>
      <c r="AG408">
        <v>1</v>
      </c>
      <c r="AH408">
        <v>0</v>
      </c>
      <c r="AI408">
        <v>0</v>
      </c>
      <c r="AJ408">
        <v>0</v>
      </c>
      <c r="AK408">
        <v>2</v>
      </c>
      <c r="AL408" t="s">
        <v>228</v>
      </c>
      <c r="AM408" t="s">
        <v>229</v>
      </c>
      <c r="AN408" t="s">
        <v>1129</v>
      </c>
      <c r="AO408" t="s">
        <v>1130</v>
      </c>
      <c r="AP408" t="s">
        <v>74</v>
      </c>
      <c r="AQ408" t="s">
        <v>74</v>
      </c>
      <c r="AR408" t="s">
        <v>1131</v>
      </c>
      <c r="AS408" t="s">
        <v>1132</v>
      </c>
      <c r="AT408" t="s">
        <v>6124</v>
      </c>
      <c r="AU408">
        <v>2003</v>
      </c>
      <c r="AV408">
        <v>15</v>
      </c>
      <c r="AW408">
        <v>2</v>
      </c>
      <c r="AX408" t="s">
        <v>74</v>
      </c>
      <c r="AY408" t="s">
        <v>74</v>
      </c>
      <c r="AZ408" t="s">
        <v>74</v>
      </c>
      <c r="BA408" t="s">
        <v>74</v>
      </c>
      <c r="BB408">
        <v>174</v>
      </c>
      <c r="BC408">
        <v>174</v>
      </c>
      <c r="BD408" t="s">
        <v>74</v>
      </c>
      <c r="BE408" t="s">
        <v>74</v>
      </c>
      <c r="BF408" t="s">
        <v>74</v>
      </c>
      <c r="BG408" t="s">
        <v>74</v>
      </c>
      <c r="BH408" t="s">
        <v>74</v>
      </c>
      <c r="BI408">
        <v>1</v>
      </c>
      <c r="BJ408" t="s">
        <v>1134</v>
      </c>
      <c r="BK408" t="s">
        <v>94</v>
      </c>
      <c r="BL408" t="s">
        <v>1135</v>
      </c>
      <c r="BM408" t="s">
        <v>6134</v>
      </c>
      <c r="BN408" t="s">
        <v>74</v>
      </c>
      <c r="BO408" t="s">
        <v>74</v>
      </c>
      <c r="BP408" t="s">
        <v>74</v>
      </c>
      <c r="BQ408" t="s">
        <v>74</v>
      </c>
      <c r="BR408" t="s">
        <v>97</v>
      </c>
      <c r="BS408" t="s">
        <v>6143</v>
      </c>
      <c r="BT408" t="str">
        <f>HYPERLINK("https%3A%2F%2Fwww.webofscience.com%2Fwos%2Fwoscc%2Ffull-record%2FWOS:000183658000003","View Full Record in Web of Science")</f>
        <v>View Full Record in Web of Science</v>
      </c>
    </row>
    <row r="409" spans="1:72" x14ac:dyDescent="0.15">
      <c r="A409" t="s">
        <v>72</v>
      </c>
      <c r="B409" t="s">
        <v>6144</v>
      </c>
      <c r="C409" t="s">
        <v>74</v>
      </c>
      <c r="D409" t="s">
        <v>74</v>
      </c>
      <c r="E409" t="s">
        <v>74</v>
      </c>
      <c r="F409" t="s">
        <v>6144</v>
      </c>
      <c r="G409" t="s">
        <v>74</v>
      </c>
      <c r="H409" t="s">
        <v>74</v>
      </c>
      <c r="I409" t="s">
        <v>6145</v>
      </c>
      <c r="J409" t="s">
        <v>1128</v>
      </c>
      <c r="K409" t="s">
        <v>74</v>
      </c>
      <c r="L409" t="s">
        <v>74</v>
      </c>
      <c r="M409" t="s">
        <v>77</v>
      </c>
      <c r="N409" t="s">
        <v>78</v>
      </c>
      <c r="O409" t="s">
        <v>74</v>
      </c>
      <c r="P409" t="s">
        <v>74</v>
      </c>
      <c r="Q409" t="s">
        <v>74</v>
      </c>
      <c r="R409" t="s">
        <v>74</v>
      </c>
      <c r="S409" t="s">
        <v>74</v>
      </c>
      <c r="T409" t="s">
        <v>6146</v>
      </c>
      <c r="U409" t="s">
        <v>6147</v>
      </c>
      <c r="V409" t="s">
        <v>6148</v>
      </c>
      <c r="W409" t="s">
        <v>6149</v>
      </c>
      <c r="X409" t="s">
        <v>6150</v>
      </c>
      <c r="Y409" t="s">
        <v>6151</v>
      </c>
      <c r="Z409" t="s">
        <v>6152</v>
      </c>
      <c r="AA409" t="s">
        <v>6153</v>
      </c>
      <c r="AB409" t="s">
        <v>6154</v>
      </c>
      <c r="AC409" t="s">
        <v>74</v>
      </c>
      <c r="AD409" t="s">
        <v>74</v>
      </c>
      <c r="AE409" t="s">
        <v>74</v>
      </c>
      <c r="AF409" t="s">
        <v>74</v>
      </c>
      <c r="AG409">
        <v>80</v>
      </c>
      <c r="AH409">
        <v>55</v>
      </c>
      <c r="AI409">
        <v>58</v>
      </c>
      <c r="AJ409">
        <v>0</v>
      </c>
      <c r="AK409">
        <v>20</v>
      </c>
      <c r="AL409" t="s">
        <v>228</v>
      </c>
      <c r="AM409" t="s">
        <v>229</v>
      </c>
      <c r="AN409" t="s">
        <v>1170</v>
      </c>
      <c r="AO409" t="s">
        <v>1130</v>
      </c>
      <c r="AP409" t="s">
        <v>1171</v>
      </c>
      <c r="AQ409" t="s">
        <v>74</v>
      </c>
      <c r="AR409" t="s">
        <v>1131</v>
      </c>
      <c r="AS409" t="s">
        <v>1132</v>
      </c>
      <c r="AT409" t="s">
        <v>6124</v>
      </c>
      <c r="AU409">
        <v>2003</v>
      </c>
      <c r="AV409">
        <v>15</v>
      </c>
      <c r="AW409">
        <v>2</v>
      </c>
      <c r="AX409" t="s">
        <v>74</v>
      </c>
      <c r="AY409" t="s">
        <v>74</v>
      </c>
      <c r="AZ409" t="s">
        <v>74</v>
      </c>
      <c r="BA409" t="s">
        <v>74</v>
      </c>
      <c r="BB409">
        <v>175</v>
      </c>
      <c r="BC409">
        <v>188</v>
      </c>
      <c r="BD409" t="s">
        <v>74</v>
      </c>
      <c r="BE409" t="s">
        <v>6155</v>
      </c>
      <c r="BF409" t="str">
        <f>HYPERLINK("http://dx.doi.org/10.1017/S0954102003001214","http://dx.doi.org/10.1017/S0954102003001214")</f>
        <v>http://dx.doi.org/10.1017/S0954102003001214</v>
      </c>
      <c r="BG409" t="s">
        <v>74</v>
      </c>
      <c r="BH409" t="s">
        <v>74</v>
      </c>
      <c r="BI409">
        <v>14</v>
      </c>
      <c r="BJ409" t="s">
        <v>1134</v>
      </c>
      <c r="BK409" t="s">
        <v>94</v>
      </c>
      <c r="BL409" t="s">
        <v>1135</v>
      </c>
      <c r="BM409" t="s">
        <v>6134</v>
      </c>
      <c r="BN409" t="s">
        <v>74</v>
      </c>
      <c r="BO409" t="s">
        <v>74</v>
      </c>
      <c r="BP409" t="s">
        <v>74</v>
      </c>
      <c r="BQ409" t="s">
        <v>74</v>
      </c>
      <c r="BR409" t="s">
        <v>97</v>
      </c>
      <c r="BS409" t="s">
        <v>6156</v>
      </c>
      <c r="BT409" t="str">
        <f>HYPERLINK("https%3A%2F%2Fwww.webofscience.com%2Fwos%2Fwoscc%2Ffull-record%2FWOS:000183658000004","View Full Record in Web of Science")</f>
        <v>View Full Record in Web of Science</v>
      </c>
    </row>
    <row r="410" spans="1:72" x14ac:dyDescent="0.15">
      <c r="A410" t="s">
        <v>72</v>
      </c>
      <c r="B410" t="s">
        <v>6157</v>
      </c>
      <c r="C410" t="s">
        <v>74</v>
      </c>
      <c r="D410" t="s">
        <v>74</v>
      </c>
      <c r="E410" t="s">
        <v>74</v>
      </c>
      <c r="F410" t="s">
        <v>6157</v>
      </c>
      <c r="G410" t="s">
        <v>74</v>
      </c>
      <c r="H410" t="s">
        <v>74</v>
      </c>
      <c r="I410" t="s">
        <v>6158</v>
      </c>
      <c r="J410" t="s">
        <v>1128</v>
      </c>
      <c r="K410" t="s">
        <v>74</v>
      </c>
      <c r="L410" t="s">
        <v>74</v>
      </c>
      <c r="M410" t="s">
        <v>77</v>
      </c>
      <c r="N410" t="s">
        <v>78</v>
      </c>
      <c r="O410" t="s">
        <v>74</v>
      </c>
      <c r="P410" t="s">
        <v>74</v>
      </c>
      <c r="Q410" t="s">
        <v>74</v>
      </c>
      <c r="R410" t="s">
        <v>74</v>
      </c>
      <c r="S410" t="s">
        <v>74</v>
      </c>
      <c r="T410" t="s">
        <v>6159</v>
      </c>
      <c r="U410" t="s">
        <v>6160</v>
      </c>
      <c r="V410" t="s">
        <v>6161</v>
      </c>
      <c r="W410" t="s">
        <v>6162</v>
      </c>
      <c r="X410" t="s">
        <v>6163</v>
      </c>
      <c r="Y410" t="s">
        <v>6164</v>
      </c>
      <c r="Z410" t="s">
        <v>6165</v>
      </c>
      <c r="AA410" t="s">
        <v>6166</v>
      </c>
      <c r="AB410" t="s">
        <v>6167</v>
      </c>
      <c r="AC410" t="s">
        <v>74</v>
      </c>
      <c r="AD410" t="s">
        <v>74</v>
      </c>
      <c r="AE410" t="s">
        <v>74</v>
      </c>
      <c r="AF410" t="s">
        <v>74</v>
      </c>
      <c r="AG410">
        <v>51</v>
      </c>
      <c r="AH410">
        <v>27</v>
      </c>
      <c r="AI410">
        <v>30</v>
      </c>
      <c r="AJ410">
        <v>0</v>
      </c>
      <c r="AK410">
        <v>16</v>
      </c>
      <c r="AL410" t="s">
        <v>228</v>
      </c>
      <c r="AM410" t="s">
        <v>229</v>
      </c>
      <c r="AN410" t="s">
        <v>1170</v>
      </c>
      <c r="AO410" t="s">
        <v>1130</v>
      </c>
      <c r="AP410" t="s">
        <v>1171</v>
      </c>
      <c r="AQ410" t="s">
        <v>74</v>
      </c>
      <c r="AR410" t="s">
        <v>1131</v>
      </c>
      <c r="AS410" t="s">
        <v>1132</v>
      </c>
      <c r="AT410" t="s">
        <v>6124</v>
      </c>
      <c r="AU410">
        <v>2003</v>
      </c>
      <c r="AV410">
        <v>15</v>
      </c>
      <c r="AW410">
        <v>2</v>
      </c>
      <c r="AX410" t="s">
        <v>74</v>
      </c>
      <c r="AY410" t="s">
        <v>74</v>
      </c>
      <c r="AZ410" t="s">
        <v>74</v>
      </c>
      <c r="BA410" t="s">
        <v>74</v>
      </c>
      <c r="BB410">
        <v>189</v>
      </c>
      <c r="BC410">
        <v>201</v>
      </c>
      <c r="BD410" t="s">
        <v>74</v>
      </c>
      <c r="BE410" t="s">
        <v>6168</v>
      </c>
      <c r="BF410" t="str">
        <f>HYPERLINK("http://dx.doi.org/10.1017/S0954102003001226","http://dx.doi.org/10.1017/S0954102003001226")</f>
        <v>http://dx.doi.org/10.1017/S0954102003001226</v>
      </c>
      <c r="BG410" t="s">
        <v>74</v>
      </c>
      <c r="BH410" t="s">
        <v>74</v>
      </c>
      <c r="BI410">
        <v>13</v>
      </c>
      <c r="BJ410" t="s">
        <v>1134</v>
      </c>
      <c r="BK410" t="s">
        <v>94</v>
      </c>
      <c r="BL410" t="s">
        <v>1135</v>
      </c>
      <c r="BM410" t="s">
        <v>6134</v>
      </c>
      <c r="BN410" t="s">
        <v>74</v>
      </c>
      <c r="BO410" t="s">
        <v>74</v>
      </c>
      <c r="BP410" t="s">
        <v>74</v>
      </c>
      <c r="BQ410" t="s">
        <v>74</v>
      </c>
      <c r="BR410" t="s">
        <v>97</v>
      </c>
      <c r="BS410" t="s">
        <v>6169</v>
      </c>
      <c r="BT410" t="str">
        <f>HYPERLINK("https%3A%2F%2Fwww.webofscience.com%2Fwos%2Fwoscc%2Ffull-record%2FWOS:000183658000005","View Full Record in Web of Science")</f>
        <v>View Full Record in Web of Science</v>
      </c>
    </row>
    <row r="411" spans="1:72" x14ac:dyDescent="0.15">
      <c r="A411" t="s">
        <v>72</v>
      </c>
      <c r="B411" t="s">
        <v>6170</v>
      </c>
      <c r="C411" t="s">
        <v>74</v>
      </c>
      <c r="D411" t="s">
        <v>74</v>
      </c>
      <c r="E411" t="s">
        <v>74</v>
      </c>
      <c r="F411" t="s">
        <v>6170</v>
      </c>
      <c r="G411" t="s">
        <v>74</v>
      </c>
      <c r="H411" t="s">
        <v>74</v>
      </c>
      <c r="I411" t="s">
        <v>6171</v>
      </c>
      <c r="J411" t="s">
        <v>1128</v>
      </c>
      <c r="K411" t="s">
        <v>74</v>
      </c>
      <c r="L411" t="s">
        <v>74</v>
      </c>
      <c r="M411" t="s">
        <v>77</v>
      </c>
      <c r="N411" t="s">
        <v>78</v>
      </c>
      <c r="O411" t="s">
        <v>74</v>
      </c>
      <c r="P411" t="s">
        <v>74</v>
      </c>
      <c r="Q411" t="s">
        <v>74</v>
      </c>
      <c r="R411" t="s">
        <v>74</v>
      </c>
      <c r="S411" t="s">
        <v>74</v>
      </c>
      <c r="T411" t="s">
        <v>6172</v>
      </c>
      <c r="U411" t="s">
        <v>6173</v>
      </c>
      <c r="V411" t="s">
        <v>6174</v>
      </c>
      <c r="W411" t="s">
        <v>6175</v>
      </c>
      <c r="X411" t="s">
        <v>6176</v>
      </c>
      <c r="Y411" t="s">
        <v>74</v>
      </c>
      <c r="Z411" t="s">
        <v>6177</v>
      </c>
      <c r="AA411" t="s">
        <v>6178</v>
      </c>
      <c r="AB411" t="s">
        <v>6179</v>
      </c>
      <c r="AC411" t="s">
        <v>74</v>
      </c>
      <c r="AD411" t="s">
        <v>74</v>
      </c>
      <c r="AE411" t="s">
        <v>74</v>
      </c>
      <c r="AF411" t="s">
        <v>74</v>
      </c>
      <c r="AG411">
        <v>29</v>
      </c>
      <c r="AH411">
        <v>24</v>
      </c>
      <c r="AI411">
        <v>25</v>
      </c>
      <c r="AJ411">
        <v>0</v>
      </c>
      <c r="AK411">
        <v>10</v>
      </c>
      <c r="AL411" t="s">
        <v>228</v>
      </c>
      <c r="AM411" t="s">
        <v>229</v>
      </c>
      <c r="AN411" t="s">
        <v>1170</v>
      </c>
      <c r="AO411" t="s">
        <v>1130</v>
      </c>
      <c r="AP411" t="s">
        <v>1171</v>
      </c>
      <c r="AQ411" t="s">
        <v>74</v>
      </c>
      <c r="AR411" t="s">
        <v>1131</v>
      </c>
      <c r="AS411" t="s">
        <v>1132</v>
      </c>
      <c r="AT411" t="s">
        <v>6124</v>
      </c>
      <c r="AU411">
        <v>2003</v>
      </c>
      <c r="AV411">
        <v>15</v>
      </c>
      <c r="AW411">
        <v>2</v>
      </c>
      <c r="AX411" t="s">
        <v>74</v>
      </c>
      <c r="AY411" t="s">
        <v>74</v>
      </c>
      <c r="AZ411" t="s">
        <v>74</v>
      </c>
      <c r="BA411" t="s">
        <v>74</v>
      </c>
      <c r="BB411">
        <v>203</v>
      </c>
      <c r="BC411">
        <v>209</v>
      </c>
      <c r="BD411" t="s">
        <v>74</v>
      </c>
      <c r="BE411" t="s">
        <v>6180</v>
      </c>
      <c r="BF411" t="str">
        <f>HYPERLINK("http://dx.doi.org/10.1017/S0954102003001184","http://dx.doi.org/10.1017/S0954102003001184")</f>
        <v>http://dx.doi.org/10.1017/S0954102003001184</v>
      </c>
      <c r="BG411" t="s">
        <v>74</v>
      </c>
      <c r="BH411" t="s">
        <v>74</v>
      </c>
      <c r="BI411">
        <v>7</v>
      </c>
      <c r="BJ411" t="s">
        <v>1134</v>
      </c>
      <c r="BK411" t="s">
        <v>94</v>
      </c>
      <c r="BL411" t="s">
        <v>1135</v>
      </c>
      <c r="BM411" t="s">
        <v>6134</v>
      </c>
      <c r="BN411" t="s">
        <v>74</v>
      </c>
      <c r="BO411" t="s">
        <v>74</v>
      </c>
      <c r="BP411" t="s">
        <v>74</v>
      </c>
      <c r="BQ411" t="s">
        <v>74</v>
      </c>
      <c r="BR411" t="s">
        <v>97</v>
      </c>
      <c r="BS411" t="s">
        <v>6181</v>
      </c>
      <c r="BT411" t="str">
        <f>HYPERLINK("https%3A%2F%2Fwww.webofscience.com%2Fwos%2Fwoscc%2Ffull-record%2FWOS:000183658000006","View Full Record in Web of Science")</f>
        <v>View Full Record in Web of Science</v>
      </c>
    </row>
    <row r="412" spans="1:72" x14ac:dyDescent="0.15">
      <c r="A412" t="s">
        <v>72</v>
      </c>
      <c r="B412" t="s">
        <v>6182</v>
      </c>
      <c r="C412" t="s">
        <v>74</v>
      </c>
      <c r="D412" t="s">
        <v>74</v>
      </c>
      <c r="E412" t="s">
        <v>74</v>
      </c>
      <c r="F412" t="s">
        <v>6182</v>
      </c>
      <c r="G412" t="s">
        <v>74</v>
      </c>
      <c r="H412" t="s">
        <v>74</v>
      </c>
      <c r="I412" t="s">
        <v>6183</v>
      </c>
      <c r="J412" t="s">
        <v>1128</v>
      </c>
      <c r="K412" t="s">
        <v>74</v>
      </c>
      <c r="L412" t="s">
        <v>74</v>
      </c>
      <c r="M412" t="s">
        <v>77</v>
      </c>
      <c r="N412" t="s">
        <v>78</v>
      </c>
      <c r="O412" t="s">
        <v>74</v>
      </c>
      <c r="P412" t="s">
        <v>74</v>
      </c>
      <c r="Q412" t="s">
        <v>74</v>
      </c>
      <c r="R412" t="s">
        <v>74</v>
      </c>
      <c r="S412" t="s">
        <v>74</v>
      </c>
      <c r="T412" t="s">
        <v>6184</v>
      </c>
      <c r="U412" t="s">
        <v>6185</v>
      </c>
      <c r="V412" t="s">
        <v>6186</v>
      </c>
      <c r="W412" t="s">
        <v>6187</v>
      </c>
      <c r="X412" t="s">
        <v>6188</v>
      </c>
      <c r="Y412" t="s">
        <v>6189</v>
      </c>
      <c r="Z412" t="s">
        <v>6190</v>
      </c>
      <c r="AA412" t="s">
        <v>6191</v>
      </c>
      <c r="AB412" t="s">
        <v>6192</v>
      </c>
      <c r="AC412" t="s">
        <v>74</v>
      </c>
      <c r="AD412" t="s">
        <v>74</v>
      </c>
      <c r="AE412" t="s">
        <v>74</v>
      </c>
      <c r="AF412" t="s">
        <v>74</v>
      </c>
      <c r="AG412">
        <v>55</v>
      </c>
      <c r="AH412">
        <v>30</v>
      </c>
      <c r="AI412">
        <v>32</v>
      </c>
      <c r="AJ412">
        <v>0</v>
      </c>
      <c r="AK412">
        <v>10</v>
      </c>
      <c r="AL412" t="s">
        <v>228</v>
      </c>
      <c r="AM412" t="s">
        <v>229</v>
      </c>
      <c r="AN412" t="s">
        <v>1170</v>
      </c>
      <c r="AO412" t="s">
        <v>1130</v>
      </c>
      <c r="AP412" t="s">
        <v>1171</v>
      </c>
      <c r="AQ412" t="s">
        <v>74</v>
      </c>
      <c r="AR412" t="s">
        <v>1131</v>
      </c>
      <c r="AS412" t="s">
        <v>1132</v>
      </c>
      <c r="AT412" t="s">
        <v>6124</v>
      </c>
      <c r="AU412">
        <v>2003</v>
      </c>
      <c r="AV412">
        <v>15</v>
      </c>
      <c r="AW412">
        <v>2</v>
      </c>
      <c r="AX412" t="s">
        <v>74</v>
      </c>
      <c r="AY412" t="s">
        <v>74</v>
      </c>
      <c r="AZ412" t="s">
        <v>74</v>
      </c>
      <c r="BA412" t="s">
        <v>74</v>
      </c>
      <c r="BB412">
        <v>211</v>
      </c>
      <c r="BC412">
        <v>218</v>
      </c>
      <c r="BD412" t="s">
        <v>74</v>
      </c>
      <c r="BE412" t="s">
        <v>6193</v>
      </c>
      <c r="BF412" t="str">
        <f>HYPERLINK("http://dx.doi.org/10.1017/S0954102003001196","http://dx.doi.org/10.1017/S0954102003001196")</f>
        <v>http://dx.doi.org/10.1017/S0954102003001196</v>
      </c>
      <c r="BG412" t="s">
        <v>74</v>
      </c>
      <c r="BH412" t="s">
        <v>74</v>
      </c>
      <c r="BI412">
        <v>8</v>
      </c>
      <c r="BJ412" t="s">
        <v>1134</v>
      </c>
      <c r="BK412" t="s">
        <v>94</v>
      </c>
      <c r="BL412" t="s">
        <v>1135</v>
      </c>
      <c r="BM412" t="s">
        <v>6134</v>
      </c>
      <c r="BN412" t="s">
        <v>74</v>
      </c>
      <c r="BO412" t="s">
        <v>74</v>
      </c>
      <c r="BP412" t="s">
        <v>74</v>
      </c>
      <c r="BQ412" t="s">
        <v>74</v>
      </c>
      <c r="BR412" t="s">
        <v>97</v>
      </c>
      <c r="BS412" t="s">
        <v>6194</v>
      </c>
      <c r="BT412" t="str">
        <f>HYPERLINK("https%3A%2F%2Fwww.webofscience.com%2Fwos%2Fwoscc%2Ffull-record%2FWOS:000183658000007","View Full Record in Web of Science")</f>
        <v>View Full Record in Web of Science</v>
      </c>
    </row>
    <row r="413" spans="1:72" x14ac:dyDescent="0.15">
      <c r="A413" t="s">
        <v>72</v>
      </c>
      <c r="B413" t="s">
        <v>6195</v>
      </c>
      <c r="C413" t="s">
        <v>74</v>
      </c>
      <c r="D413" t="s">
        <v>74</v>
      </c>
      <c r="E413" t="s">
        <v>74</v>
      </c>
      <c r="F413" t="s">
        <v>6195</v>
      </c>
      <c r="G413" t="s">
        <v>74</v>
      </c>
      <c r="H413" t="s">
        <v>74</v>
      </c>
      <c r="I413" t="s">
        <v>6196</v>
      </c>
      <c r="J413" t="s">
        <v>1128</v>
      </c>
      <c r="K413" t="s">
        <v>74</v>
      </c>
      <c r="L413" t="s">
        <v>74</v>
      </c>
      <c r="M413" t="s">
        <v>77</v>
      </c>
      <c r="N413" t="s">
        <v>78</v>
      </c>
      <c r="O413" t="s">
        <v>74</v>
      </c>
      <c r="P413" t="s">
        <v>74</v>
      </c>
      <c r="Q413" t="s">
        <v>74</v>
      </c>
      <c r="R413" t="s">
        <v>74</v>
      </c>
      <c r="S413" t="s">
        <v>74</v>
      </c>
      <c r="T413" t="s">
        <v>6197</v>
      </c>
      <c r="U413" t="s">
        <v>6198</v>
      </c>
      <c r="V413" t="s">
        <v>6199</v>
      </c>
      <c r="W413" t="s">
        <v>6200</v>
      </c>
      <c r="X413" t="s">
        <v>6201</v>
      </c>
      <c r="Y413" t="s">
        <v>6202</v>
      </c>
      <c r="Z413" t="s">
        <v>74</v>
      </c>
      <c r="AA413" t="s">
        <v>6203</v>
      </c>
      <c r="AB413" t="s">
        <v>6204</v>
      </c>
      <c r="AC413" t="s">
        <v>74</v>
      </c>
      <c r="AD413" t="s">
        <v>74</v>
      </c>
      <c r="AE413" t="s">
        <v>74</v>
      </c>
      <c r="AF413" t="s">
        <v>74</v>
      </c>
      <c r="AG413">
        <v>22</v>
      </c>
      <c r="AH413">
        <v>8</v>
      </c>
      <c r="AI413">
        <v>8</v>
      </c>
      <c r="AJ413">
        <v>0</v>
      </c>
      <c r="AK413">
        <v>11</v>
      </c>
      <c r="AL413" t="s">
        <v>228</v>
      </c>
      <c r="AM413" t="s">
        <v>229</v>
      </c>
      <c r="AN413" t="s">
        <v>1170</v>
      </c>
      <c r="AO413" t="s">
        <v>1130</v>
      </c>
      <c r="AP413" t="s">
        <v>74</v>
      </c>
      <c r="AQ413" t="s">
        <v>74</v>
      </c>
      <c r="AR413" t="s">
        <v>1131</v>
      </c>
      <c r="AS413" t="s">
        <v>1132</v>
      </c>
      <c r="AT413" t="s">
        <v>6124</v>
      </c>
      <c r="AU413">
        <v>2003</v>
      </c>
      <c r="AV413">
        <v>15</v>
      </c>
      <c r="AW413">
        <v>2</v>
      </c>
      <c r="AX413" t="s">
        <v>74</v>
      </c>
      <c r="AY413" t="s">
        <v>74</v>
      </c>
      <c r="AZ413" t="s">
        <v>74</v>
      </c>
      <c r="BA413" t="s">
        <v>74</v>
      </c>
      <c r="BB413">
        <v>219</v>
      </c>
      <c r="BC413">
        <v>226</v>
      </c>
      <c r="BD413" t="s">
        <v>74</v>
      </c>
      <c r="BE413" t="s">
        <v>6205</v>
      </c>
      <c r="BF413" t="str">
        <f>HYPERLINK("http://dx.doi.org/10.1017/S0954102003001238","http://dx.doi.org/10.1017/S0954102003001238")</f>
        <v>http://dx.doi.org/10.1017/S0954102003001238</v>
      </c>
      <c r="BG413" t="s">
        <v>74</v>
      </c>
      <c r="BH413" t="s">
        <v>74</v>
      </c>
      <c r="BI413">
        <v>8</v>
      </c>
      <c r="BJ413" t="s">
        <v>1134</v>
      </c>
      <c r="BK413" t="s">
        <v>94</v>
      </c>
      <c r="BL413" t="s">
        <v>1135</v>
      </c>
      <c r="BM413" t="s">
        <v>6134</v>
      </c>
      <c r="BN413" t="s">
        <v>74</v>
      </c>
      <c r="BO413" t="s">
        <v>74</v>
      </c>
      <c r="BP413" t="s">
        <v>74</v>
      </c>
      <c r="BQ413" t="s">
        <v>74</v>
      </c>
      <c r="BR413" t="s">
        <v>97</v>
      </c>
      <c r="BS413" t="s">
        <v>6206</v>
      </c>
      <c r="BT413" t="str">
        <f>HYPERLINK("https%3A%2F%2Fwww.webofscience.com%2Fwos%2Fwoscc%2Ffull-record%2FWOS:000183658000008","View Full Record in Web of Science")</f>
        <v>View Full Record in Web of Science</v>
      </c>
    </row>
    <row r="414" spans="1:72" x14ac:dyDescent="0.15">
      <c r="A414" t="s">
        <v>72</v>
      </c>
      <c r="B414" t="s">
        <v>6207</v>
      </c>
      <c r="C414" t="s">
        <v>74</v>
      </c>
      <c r="D414" t="s">
        <v>74</v>
      </c>
      <c r="E414" t="s">
        <v>74</v>
      </c>
      <c r="F414" t="s">
        <v>6207</v>
      </c>
      <c r="G414" t="s">
        <v>74</v>
      </c>
      <c r="H414" t="s">
        <v>74</v>
      </c>
      <c r="I414" t="s">
        <v>6208</v>
      </c>
      <c r="J414" t="s">
        <v>1128</v>
      </c>
      <c r="K414" t="s">
        <v>74</v>
      </c>
      <c r="L414" t="s">
        <v>74</v>
      </c>
      <c r="M414" t="s">
        <v>77</v>
      </c>
      <c r="N414" t="s">
        <v>556</v>
      </c>
      <c r="O414" t="s">
        <v>74</v>
      </c>
      <c r="P414" t="s">
        <v>74</v>
      </c>
      <c r="Q414" t="s">
        <v>74</v>
      </c>
      <c r="R414" t="s">
        <v>74</v>
      </c>
      <c r="S414" t="s">
        <v>74</v>
      </c>
      <c r="T414" t="s">
        <v>6209</v>
      </c>
      <c r="U414" t="s">
        <v>6210</v>
      </c>
      <c r="V414" t="s">
        <v>6211</v>
      </c>
      <c r="W414" t="s">
        <v>6212</v>
      </c>
      <c r="X414" t="s">
        <v>6213</v>
      </c>
      <c r="Y414" t="s">
        <v>6214</v>
      </c>
      <c r="Z414" t="s">
        <v>74</v>
      </c>
      <c r="AA414" t="s">
        <v>6215</v>
      </c>
      <c r="AB414" t="s">
        <v>74</v>
      </c>
      <c r="AC414" t="s">
        <v>74</v>
      </c>
      <c r="AD414" t="s">
        <v>74</v>
      </c>
      <c r="AE414" t="s">
        <v>74</v>
      </c>
      <c r="AF414" t="s">
        <v>74</v>
      </c>
      <c r="AG414">
        <v>104</v>
      </c>
      <c r="AH414">
        <v>171</v>
      </c>
      <c r="AI414">
        <v>188</v>
      </c>
      <c r="AJ414">
        <v>3</v>
      </c>
      <c r="AK414">
        <v>39</v>
      </c>
      <c r="AL414" t="s">
        <v>228</v>
      </c>
      <c r="AM414" t="s">
        <v>229</v>
      </c>
      <c r="AN414" t="s">
        <v>1129</v>
      </c>
      <c r="AO414" t="s">
        <v>1130</v>
      </c>
      <c r="AP414" t="s">
        <v>74</v>
      </c>
      <c r="AQ414" t="s">
        <v>74</v>
      </c>
      <c r="AR414" t="s">
        <v>1131</v>
      </c>
      <c r="AS414" t="s">
        <v>1132</v>
      </c>
      <c r="AT414" t="s">
        <v>6124</v>
      </c>
      <c r="AU414">
        <v>2003</v>
      </c>
      <c r="AV414">
        <v>15</v>
      </c>
      <c r="AW414">
        <v>2</v>
      </c>
      <c r="AX414" t="s">
        <v>74</v>
      </c>
      <c r="AY414" t="s">
        <v>74</v>
      </c>
      <c r="AZ414" t="s">
        <v>74</v>
      </c>
      <c r="BA414" t="s">
        <v>74</v>
      </c>
      <c r="BB414">
        <v>227</v>
      </c>
      <c r="BC414">
        <v>248</v>
      </c>
      <c r="BD414" t="s">
        <v>74</v>
      </c>
      <c r="BE414" t="s">
        <v>6216</v>
      </c>
      <c r="BF414" t="str">
        <f>HYPERLINK("http://dx.doi.org/10.1017/S095410200300124X","http://dx.doi.org/10.1017/S095410200300124X")</f>
        <v>http://dx.doi.org/10.1017/S095410200300124X</v>
      </c>
      <c r="BG414" t="s">
        <v>74</v>
      </c>
      <c r="BH414" t="s">
        <v>74</v>
      </c>
      <c r="BI414">
        <v>22</v>
      </c>
      <c r="BJ414" t="s">
        <v>1134</v>
      </c>
      <c r="BK414" t="s">
        <v>94</v>
      </c>
      <c r="BL414" t="s">
        <v>1135</v>
      </c>
      <c r="BM414" t="s">
        <v>6134</v>
      </c>
      <c r="BN414" t="s">
        <v>74</v>
      </c>
      <c r="BO414" t="s">
        <v>74</v>
      </c>
      <c r="BP414" t="s">
        <v>74</v>
      </c>
      <c r="BQ414" t="s">
        <v>74</v>
      </c>
      <c r="BR414" t="s">
        <v>97</v>
      </c>
      <c r="BS414" t="s">
        <v>6217</v>
      </c>
      <c r="BT414" t="str">
        <f>HYPERLINK("https%3A%2F%2Fwww.webofscience.com%2Fwos%2Fwoscc%2Ffull-record%2FWOS:000183658000009","View Full Record in Web of Science")</f>
        <v>View Full Record in Web of Science</v>
      </c>
    </row>
    <row r="415" spans="1:72" x14ac:dyDescent="0.15">
      <c r="A415" t="s">
        <v>72</v>
      </c>
      <c r="B415" t="s">
        <v>6218</v>
      </c>
      <c r="C415" t="s">
        <v>74</v>
      </c>
      <c r="D415" t="s">
        <v>74</v>
      </c>
      <c r="E415" t="s">
        <v>74</v>
      </c>
      <c r="F415" t="s">
        <v>6218</v>
      </c>
      <c r="G415" t="s">
        <v>74</v>
      </c>
      <c r="H415" t="s">
        <v>74</v>
      </c>
      <c r="I415" t="s">
        <v>6219</v>
      </c>
      <c r="J415" t="s">
        <v>1128</v>
      </c>
      <c r="K415" t="s">
        <v>74</v>
      </c>
      <c r="L415" t="s">
        <v>74</v>
      </c>
      <c r="M415" t="s">
        <v>77</v>
      </c>
      <c r="N415" t="s">
        <v>78</v>
      </c>
      <c r="O415" t="s">
        <v>74</v>
      </c>
      <c r="P415" t="s">
        <v>74</v>
      </c>
      <c r="Q415" t="s">
        <v>74</v>
      </c>
      <c r="R415" t="s">
        <v>74</v>
      </c>
      <c r="S415" t="s">
        <v>74</v>
      </c>
      <c r="T415" t="s">
        <v>6220</v>
      </c>
      <c r="U415" t="s">
        <v>6221</v>
      </c>
      <c r="V415" t="s">
        <v>6222</v>
      </c>
      <c r="W415" t="s">
        <v>6223</v>
      </c>
      <c r="X415" t="s">
        <v>6224</v>
      </c>
      <c r="Y415" t="s">
        <v>6225</v>
      </c>
      <c r="Z415" t="s">
        <v>6226</v>
      </c>
      <c r="AA415" t="s">
        <v>6227</v>
      </c>
      <c r="AB415" t="s">
        <v>6228</v>
      </c>
      <c r="AC415" t="s">
        <v>74</v>
      </c>
      <c r="AD415" t="s">
        <v>74</v>
      </c>
      <c r="AE415" t="s">
        <v>74</v>
      </c>
      <c r="AF415" t="s">
        <v>74</v>
      </c>
      <c r="AG415">
        <v>56</v>
      </c>
      <c r="AH415">
        <v>189</v>
      </c>
      <c r="AI415">
        <v>218</v>
      </c>
      <c r="AJ415">
        <v>0</v>
      </c>
      <c r="AK415">
        <v>48</v>
      </c>
      <c r="AL415" t="s">
        <v>228</v>
      </c>
      <c r="AM415" t="s">
        <v>229</v>
      </c>
      <c r="AN415" t="s">
        <v>1170</v>
      </c>
      <c r="AO415" t="s">
        <v>1130</v>
      </c>
      <c r="AP415" t="s">
        <v>1171</v>
      </c>
      <c r="AQ415" t="s">
        <v>74</v>
      </c>
      <c r="AR415" t="s">
        <v>1131</v>
      </c>
      <c r="AS415" t="s">
        <v>1132</v>
      </c>
      <c r="AT415" t="s">
        <v>6124</v>
      </c>
      <c r="AU415">
        <v>2003</v>
      </c>
      <c r="AV415">
        <v>15</v>
      </c>
      <c r="AW415">
        <v>2</v>
      </c>
      <c r="AX415" t="s">
        <v>74</v>
      </c>
      <c r="AY415" t="s">
        <v>74</v>
      </c>
      <c r="AZ415" t="s">
        <v>74</v>
      </c>
      <c r="BA415" t="s">
        <v>74</v>
      </c>
      <c r="BB415">
        <v>249</v>
      </c>
      <c r="BC415">
        <v>256</v>
      </c>
      <c r="BD415" t="s">
        <v>74</v>
      </c>
      <c r="BE415" t="s">
        <v>6229</v>
      </c>
      <c r="BF415" t="str">
        <f>HYPERLINK("http://dx.doi.org/10.1017/S0954102003001202","http://dx.doi.org/10.1017/S0954102003001202")</f>
        <v>http://dx.doi.org/10.1017/S0954102003001202</v>
      </c>
      <c r="BG415" t="s">
        <v>74</v>
      </c>
      <c r="BH415" t="s">
        <v>74</v>
      </c>
      <c r="BI415">
        <v>8</v>
      </c>
      <c r="BJ415" t="s">
        <v>1134</v>
      </c>
      <c r="BK415" t="s">
        <v>94</v>
      </c>
      <c r="BL415" t="s">
        <v>1135</v>
      </c>
      <c r="BM415" t="s">
        <v>6134</v>
      </c>
      <c r="BN415" t="s">
        <v>74</v>
      </c>
      <c r="BO415" t="s">
        <v>74</v>
      </c>
      <c r="BP415" t="s">
        <v>74</v>
      </c>
      <c r="BQ415" t="s">
        <v>74</v>
      </c>
      <c r="BR415" t="s">
        <v>97</v>
      </c>
      <c r="BS415" t="s">
        <v>6230</v>
      </c>
      <c r="BT415" t="str">
        <f>HYPERLINK("https%3A%2F%2Fwww.webofscience.com%2Fwos%2Fwoscc%2Ffull-record%2FWOS:000183658000010","View Full Record in Web of Science")</f>
        <v>View Full Record in Web of Science</v>
      </c>
    </row>
    <row r="416" spans="1:72" x14ac:dyDescent="0.15">
      <c r="A416" t="s">
        <v>72</v>
      </c>
      <c r="B416" t="s">
        <v>6231</v>
      </c>
      <c r="C416" t="s">
        <v>74</v>
      </c>
      <c r="D416" t="s">
        <v>74</v>
      </c>
      <c r="E416" t="s">
        <v>74</v>
      </c>
      <c r="F416" t="s">
        <v>6231</v>
      </c>
      <c r="G416" t="s">
        <v>74</v>
      </c>
      <c r="H416" t="s">
        <v>74</v>
      </c>
      <c r="I416" t="s">
        <v>6232</v>
      </c>
      <c r="J416" t="s">
        <v>1128</v>
      </c>
      <c r="K416" t="s">
        <v>74</v>
      </c>
      <c r="L416" t="s">
        <v>74</v>
      </c>
      <c r="M416" t="s">
        <v>77</v>
      </c>
      <c r="N416" t="s">
        <v>78</v>
      </c>
      <c r="O416" t="s">
        <v>74</v>
      </c>
      <c r="P416" t="s">
        <v>74</v>
      </c>
      <c r="Q416" t="s">
        <v>74</v>
      </c>
      <c r="R416" t="s">
        <v>74</v>
      </c>
      <c r="S416" t="s">
        <v>74</v>
      </c>
      <c r="T416" t="s">
        <v>74</v>
      </c>
      <c r="U416" t="s">
        <v>6233</v>
      </c>
      <c r="V416" t="s">
        <v>74</v>
      </c>
      <c r="W416" t="s">
        <v>6234</v>
      </c>
      <c r="X416" t="s">
        <v>351</v>
      </c>
      <c r="Y416" t="s">
        <v>352</v>
      </c>
      <c r="Z416" t="s">
        <v>74</v>
      </c>
      <c r="AA416" t="s">
        <v>74</v>
      </c>
      <c r="AB416" t="s">
        <v>74</v>
      </c>
      <c r="AC416" t="s">
        <v>74</v>
      </c>
      <c r="AD416" t="s">
        <v>74</v>
      </c>
      <c r="AE416" t="s">
        <v>74</v>
      </c>
      <c r="AF416" t="s">
        <v>74</v>
      </c>
      <c r="AG416">
        <v>8</v>
      </c>
      <c r="AH416">
        <v>9</v>
      </c>
      <c r="AI416">
        <v>9</v>
      </c>
      <c r="AJ416">
        <v>0</v>
      </c>
      <c r="AK416">
        <v>6</v>
      </c>
      <c r="AL416" t="s">
        <v>228</v>
      </c>
      <c r="AM416" t="s">
        <v>229</v>
      </c>
      <c r="AN416" t="s">
        <v>1129</v>
      </c>
      <c r="AO416" t="s">
        <v>1130</v>
      </c>
      <c r="AP416" t="s">
        <v>74</v>
      </c>
      <c r="AQ416" t="s">
        <v>74</v>
      </c>
      <c r="AR416" t="s">
        <v>1131</v>
      </c>
      <c r="AS416" t="s">
        <v>1132</v>
      </c>
      <c r="AT416" t="s">
        <v>6124</v>
      </c>
      <c r="AU416">
        <v>2003</v>
      </c>
      <c r="AV416">
        <v>15</v>
      </c>
      <c r="AW416">
        <v>2</v>
      </c>
      <c r="AX416" t="s">
        <v>74</v>
      </c>
      <c r="AY416" t="s">
        <v>74</v>
      </c>
      <c r="AZ416" t="s">
        <v>74</v>
      </c>
      <c r="BA416" t="s">
        <v>74</v>
      </c>
      <c r="BB416">
        <v>257</v>
      </c>
      <c r="BC416">
        <v>258</v>
      </c>
      <c r="BD416" t="s">
        <v>74</v>
      </c>
      <c r="BE416" t="s">
        <v>6235</v>
      </c>
      <c r="BF416" t="str">
        <f>HYPERLINK("http://dx.doi.org/10.1017/S0954102003001251","http://dx.doi.org/10.1017/S0954102003001251")</f>
        <v>http://dx.doi.org/10.1017/S0954102003001251</v>
      </c>
      <c r="BG416" t="s">
        <v>74</v>
      </c>
      <c r="BH416" t="s">
        <v>74</v>
      </c>
      <c r="BI416">
        <v>2</v>
      </c>
      <c r="BJ416" t="s">
        <v>1134</v>
      </c>
      <c r="BK416" t="s">
        <v>94</v>
      </c>
      <c r="BL416" t="s">
        <v>1135</v>
      </c>
      <c r="BM416" t="s">
        <v>6134</v>
      </c>
      <c r="BN416" t="s">
        <v>74</v>
      </c>
      <c r="BO416" t="s">
        <v>74</v>
      </c>
      <c r="BP416" t="s">
        <v>74</v>
      </c>
      <c r="BQ416" t="s">
        <v>74</v>
      </c>
      <c r="BR416" t="s">
        <v>97</v>
      </c>
      <c r="BS416" t="s">
        <v>6236</v>
      </c>
      <c r="BT416" t="str">
        <f>HYPERLINK("https%3A%2F%2Fwww.webofscience.com%2Fwos%2Fwoscc%2Ffull-record%2FWOS:000183658000011","View Full Record in Web of Science")</f>
        <v>View Full Record in Web of Science</v>
      </c>
    </row>
    <row r="417" spans="1:72" x14ac:dyDescent="0.15">
      <c r="A417" t="s">
        <v>72</v>
      </c>
      <c r="B417" t="s">
        <v>6237</v>
      </c>
      <c r="C417" t="s">
        <v>74</v>
      </c>
      <c r="D417" t="s">
        <v>74</v>
      </c>
      <c r="E417" t="s">
        <v>74</v>
      </c>
      <c r="F417" t="s">
        <v>6237</v>
      </c>
      <c r="G417" t="s">
        <v>74</v>
      </c>
      <c r="H417" t="s">
        <v>74</v>
      </c>
      <c r="I417" t="s">
        <v>6238</v>
      </c>
      <c r="J417" t="s">
        <v>1128</v>
      </c>
      <c r="K417" t="s">
        <v>74</v>
      </c>
      <c r="L417" t="s">
        <v>74</v>
      </c>
      <c r="M417" t="s">
        <v>77</v>
      </c>
      <c r="N417" t="s">
        <v>78</v>
      </c>
      <c r="O417" t="s">
        <v>74</v>
      </c>
      <c r="P417" t="s">
        <v>74</v>
      </c>
      <c r="Q417" t="s">
        <v>74</v>
      </c>
      <c r="R417" t="s">
        <v>74</v>
      </c>
      <c r="S417" t="s">
        <v>74</v>
      </c>
      <c r="T417" t="s">
        <v>6239</v>
      </c>
      <c r="U417" t="s">
        <v>6240</v>
      </c>
      <c r="V417" t="s">
        <v>6241</v>
      </c>
      <c r="W417" t="s">
        <v>6242</v>
      </c>
      <c r="X417" t="s">
        <v>6243</v>
      </c>
      <c r="Y417" t="s">
        <v>6244</v>
      </c>
      <c r="Z417" t="s">
        <v>6245</v>
      </c>
      <c r="AA417" t="s">
        <v>6246</v>
      </c>
      <c r="AB417" t="s">
        <v>6247</v>
      </c>
      <c r="AC417" t="s">
        <v>74</v>
      </c>
      <c r="AD417" t="s">
        <v>74</v>
      </c>
      <c r="AE417" t="s">
        <v>74</v>
      </c>
      <c r="AF417" t="s">
        <v>74</v>
      </c>
      <c r="AG417">
        <v>45</v>
      </c>
      <c r="AH417">
        <v>9</v>
      </c>
      <c r="AI417">
        <v>9</v>
      </c>
      <c r="AJ417">
        <v>1</v>
      </c>
      <c r="AK417">
        <v>9</v>
      </c>
      <c r="AL417" t="s">
        <v>228</v>
      </c>
      <c r="AM417" t="s">
        <v>229</v>
      </c>
      <c r="AN417" t="s">
        <v>1170</v>
      </c>
      <c r="AO417" t="s">
        <v>1130</v>
      </c>
      <c r="AP417" t="s">
        <v>1171</v>
      </c>
      <c r="AQ417" t="s">
        <v>74</v>
      </c>
      <c r="AR417" t="s">
        <v>1131</v>
      </c>
      <c r="AS417" t="s">
        <v>1132</v>
      </c>
      <c r="AT417" t="s">
        <v>6124</v>
      </c>
      <c r="AU417">
        <v>2003</v>
      </c>
      <c r="AV417">
        <v>15</v>
      </c>
      <c r="AW417">
        <v>2</v>
      </c>
      <c r="AX417" t="s">
        <v>74</v>
      </c>
      <c r="AY417" t="s">
        <v>74</v>
      </c>
      <c r="AZ417" t="s">
        <v>74</v>
      </c>
      <c r="BA417" t="s">
        <v>74</v>
      </c>
      <c r="BB417">
        <v>259</v>
      </c>
      <c r="BC417">
        <v>269</v>
      </c>
      <c r="BD417" t="s">
        <v>74</v>
      </c>
      <c r="BE417" t="s">
        <v>6248</v>
      </c>
      <c r="BF417" t="str">
        <f>HYPERLINK("http://dx.doi.org/10.1017/S0954102003001263","http://dx.doi.org/10.1017/S0954102003001263")</f>
        <v>http://dx.doi.org/10.1017/S0954102003001263</v>
      </c>
      <c r="BG417" t="s">
        <v>74</v>
      </c>
      <c r="BH417" t="s">
        <v>74</v>
      </c>
      <c r="BI417">
        <v>11</v>
      </c>
      <c r="BJ417" t="s">
        <v>1134</v>
      </c>
      <c r="BK417" t="s">
        <v>94</v>
      </c>
      <c r="BL417" t="s">
        <v>1135</v>
      </c>
      <c r="BM417" t="s">
        <v>6134</v>
      </c>
      <c r="BN417" t="s">
        <v>74</v>
      </c>
      <c r="BO417" t="s">
        <v>74</v>
      </c>
      <c r="BP417" t="s">
        <v>74</v>
      </c>
      <c r="BQ417" t="s">
        <v>74</v>
      </c>
      <c r="BR417" t="s">
        <v>97</v>
      </c>
      <c r="BS417" t="s">
        <v>6249</v>
      </c>
      <c r="BT417" t="str">
        <f>HYPERLINK("https%3A%2F%2Fwww.webofscience.com%2Fwos%2Fwoscc%2Ffull-record%2FWOS:000183658000012","View Full Record in Web of Science")</f>
        <v>View Full Record in Web of Science</v>
      </c>
    </row>
    <row r="418" spans="1:72" x14ac:dyDescent="0.15">
      <c r="A418" t="s">
        <v>72</v>
      </c>
      <c r="B418" t="s">
        <v>6250</v>
      </c>
      <c r="C418" t="s">
        <v>74</v>
      </c>
      <c r="D418" t="s">
        <v>74</v>
      </c>
      <c r="E418" t="s">
        <v>74</v>
      </c>
      <c r="F418" t="s">
        <v>6250</v>
      </c>
      <c r="G418" t="s">
        <v>74</v>
      </c>
      <c r="H418" t="s">
        <v>74</v>
      </c>
      <c r="I418" t="s">
        <v>6251</v>
      </c>
      <c r="J418" t="s">
        <v>1128</v>
      </c>
      <c r="K418" t="s">
        <v>74</v>
      </c>
      <c r="L418" t="s">
        <v>74</v>
      </c>
      <c r="M418" t="s">
        <v>77</v>
      </c>
      <c r="N418" t="s">
        <v>78</v>
      </c>
      <c r="O418" t="s">
        <v>74</v>
      </c>
      <c r="P418" t="s">
        <v>74</v>
      </c>
      <c r="Q418" t="s">
        <v>74</v>
      </c>
      <c r="R418" t="s">
        <v>74</v>
      </c>
      <c r="S418" t="s">
        <v>74</v>
      </c>
      <c r="T418" t="s">
        <v>6252</v>
      </c>
      <c r="U418" t="s">
        <v>6253</v>
      </c>
      <c r="V418" t="s">
        <v>6254</v>
      </c>
      <c r="W418" t="s">
        <v>6255</v>
      </c>
      <c r="X418" t="s">
        <v>6256</v>
      </c>
      <c r="Y418" t="s">
        <v>6257</v>
      </c>
      <c r="Z418" t="s">
        <v>6258</v>
      </c>
      <c r="AA418" t="s">
        <v>74</v>
      </c>
      <c r="AB418" t="s">
        <v>6259</v>
      </c>
      <c r="AC418" t="s">
        <v>74</v>
      </c>
      <c r="AD418" t="s">
        <v>74</v>
      </c>
      <c r="AE418" t="s">
        <v>74</v>
      </c>
      <c r="AF418" t="s">
        <v>74</v>
      </c>
      <c r="AG418">
        <v>49</v>
      </c>
      <c r="AH418">
        <v>21</v>
      </c>
      <c r="AI418">
        <v>25</v>
      </c>
      <c r="AJ418">
        <v>0</v>
      </c>
      <c r="AK418">
        <v>15</v>
      </c>
      <c r="AL418" t="s">
        <v>228</v>
      </c>
      <c r="AM418" t="s">
        <v>229</v>
      </c>
      <c r="AN418" t="s">
        <v>1170</v>
      </c>
      <c r="AO418" t="s">
        <v>1130</v>
      </c>
      <c r="AP418" t="s">
        <v>1171</v>
      </c>
      <c r="AQ418" t="s">
        <v>74</v>
      </c>
      <c r="AR418" t="s">
        <v>1131</v>
      </c>
      <c r="AS418" t="s">
        <v>1132</v>
      </c>
      <c r="AT418" t="s">
        <v>6124</v>
      </c>
      <c r="AU418">
        <v>2003</v>
      </c>
      <c r="AV418">
        <v>15</v>
      </c>
      <c r="AW418">
        <v>2</v>
      </c>
      <c r="AX418" t="s">
        <v>74</v>
      </c>
      <c r="AY418" t="s">
        <v>74</v>
      </c>
      <c r="AZ418" t="s">
        <v>74</v>
      </c>
      <c r="BA418" t="s">
        <v>74</v>
      </c>
      <c r="BB418">
        <v>271</v>
      </c>
      <c r="BC418">
        <v>282</v>
      </c>
      <c r="BD418" t="s">
        <v>74</v>
      </c>
      <c r="BE418" t="s">
        <v>6260</v>
      </c>
      <c r="BF418" t="str">
        <f>HYPERLINK("http://dx.doi.org/10.1017/S0954102003001275","http://dx.doi.org/10.1017/S0954102003001275")</f>
        <v>http://dx.doi.org/10.1017/S0954102003001275</v>
      </c>
      <c r="BG418" t="s">
        <v>74</v>
      </c>
      <c r="BH418" t="s">
        <v>74</v>
      </c>
      <c r="BI418">
        <v>12</v>
      </c>
      <c r="BJ418" t="s">
        <v>1134</v>
      </c>
      <c r="BK418" t="s">
        <v>94</v>
      </c>
      <c r="BL418" t="s">
        <v>1135</v>
      </c>
      <c r="BM418" t="s">
        <v>6134</v>
      </c>
      <c r="BN418" t="s">
        <v>74</v>
      </c>
      <c r="BO418" t="s">
        <v>74</v>
      </c>
      <c r="BP418" t="s">
        <v>74</v>
      </c>
      <c r="BQ418" t="s">
        <v>74</v>
      </c>
      <c r="BR418" t="s">
        <v>97</v>
      </c>
      <c r="BS418" t="s">
        <v>6261</v>
      </c>
      <c r="BT418" t="str">
        <f>HYPERLINK("https%3A%2F%2Fwww.webofscience.com%2Fwos%2Fwoscc%2Ffull-record%2FWOS:000183658000013","View Full Record in Web of Science")</f>
        <v>View Full Record in Web of Science</v>
      </c>
    </row>
    <row r="419" spans="1:72" x14ac:dyDescent="0.15">
      <c r="A419" t="s">
        <v>72</v>
      </c>
      <c r="B419" t="s">
        <v>6262</v>
      </c>
      <c r="C419" t="s">
        <v>74</v>
      </c>
      <c r="D419" t="s">
        <v>74</v>
      </c>
      <c r="E419" t="s">
        <v>74</v>
      </c>
      <c r="F419" t="s">
        <v>6262</v>
      </c>
      <c r="G419" t="s">
        <v>74</v>
      </c>
      <c r="H419" t="s">
        <v>74</v>
      </c>
      <c r="I419" t="s">
        <v>6263</v>
      </c>
      <c r="J419" t="s">
        <v>1128</v>
      </c>
      <c r="K419" t="s">
        <v>74</v>
      </c>
      <c r="L419" t="s">
        <v>74</v>
      </c>
      <c r="M419" t="s">
        <v>77</v>
      </c>
      <c r="N419" t="s">
        <v>78</v>
      </c>
      <c r="O419" t="s">
        <v>74</v>
      </c>
      <c r="P419" t="s">
        <v>74</v>
      </c>
      <c r="Q419" t="s">
        <v>74</v>
      </c>
      <c r="R419" t="s">
        <v>74</v>
      </c>
      <c r="S419" t="s">
        <v>74</v>
      </c>
      <c r="T419" t="s">
        <v>6264</v>
      </c>
      <c r="U419" t="s">
        <v>6265</v>
      </c>
      <c r="V419" t="s">
        <v>6266</v>
      </c>
      <c r="W419" t="s">
        <v>6267</v>
      </c>
      <c r="X419" t="s">
        <v>6268</v>
      </c>
      <c r="Y419" t="s">
        <v>6269</v>
      </c>
      <c r="Z419" t="s">
        <v>74</v>
      </c>
      <c r="AA419" t="s">
        <v>74</v>
      </c>
      <c r="AB419" t="s">
        <v>6270</v>
      </c>
      <c r="AC419" t="s">
        <v>74</v>
      </c>
      <c r="AD419" t="s">
        <v>74</v>
      </c>
      <c r="AE419" t="s">
        <v>74</v>
      </c>
      <c r="AF419" t="s">
        <v>74</v>
      </c>
      <c r="AG419">
        <v>64</v>
      </c>
      <c r="AH419">
        <v>19</v>
      </c>
      <c r="AI419">
        <v>21</v>
      </c>
      <c r="AJ419">
        <v>0</v>
      </c>
      <c r="AK419">
        <v>4</v>
      </c>
      <c r="AL419" t="s">
        <v>228</v>
      </c>
      <c r="AM419" t="s">
        <v>229</v>
      </c>
      <c r="AN419" t="s">
        <v>1129</v>
      </c>
      <c r="AO419" t="s">
        <v>1130</v>
      </c>
      <c r="AP419" t="s">
        <v>74</v>
      </c>
      <c r="AQ419" t="s">
        <v>74</v>
      </c>
      <c r="AR419" t="s">
        <v>1131</v>
      </c>
      <c r="AS419" t="s">
        <v>1132</v>
      </c>
      <c r="AT419" t="s">
        <v>6124</v>
      </c>
      <c r="AU419">
        <v>2003</v>
      </c>
      <c r="AV419">
        <v>15</v>
      </c>
      <c r="AW419">
        <v>2</v>
      </c>
      <c r="AX419" t="s">
        <v>74</v>
      </c>
      <c r="AY419" t="s">
        <v>74</v>
      </c>
      <c r="AZ419" t="s">
        <v>74</v>
      </c>
      <c r="BA419" t="s">
        <v>74</v>
      </c>
      <c r="BB419">
        <v>283</v>
      </c>
      <c r="BC419">
        <v>301</v>
      </c>
      <c r="BD419" t="s">
        <v>74</v>
      </c>
      <c r="BE419" t="s">
        <v>6271</v>
      </c>
      <c r="BF419" t="str">
        <f>HYPERLINK("http://dx.doi.org/10.1017/S0954102003001287","http://dx.doi.org/10.1017/S0954102003001287")</f>
        <v>http://dx.doi.org/10.1017/S0954102003001287</v>
      </c>
      <c r="BG419" t="s">
        <v>74</v>
      </c>
      <c r="BH419" t="s">
        <v>74</v>
      </c>
      <c r="BI419">
        <v>19</v>
      </c>
      <c r="BJ419" t="s">
        <v>1134</v>
      </c>
      <c r="BK419" t="s">
        <v>94</v>
      </c>
      <c r="BL419" t="s">
        <v>1135</v>
      </c>
      <c r="BM419" t="s">
        <v>6134</v>
      </c>
      <c r="BN419" t="s">
        <v>74</v>
      </c>
      <c r="BO419" t="s">
        <v>74</v>
      </c>
      <c r="BP419" t="s">
        <v>74</v>
      </c>
      <c r="BQ419" t="s">
        <v>74</v>
      </c>
      <c r="BR419" t="s">
        <v>97</v>
      </c>
      <c r="BS419" t="s">
        <v>6272</v>
      </c>
      <c r="BT419" t="str">
        <f>HYPERLINK("https%3A%2F%2Fwww.webofscience.com%2Fwos%2Fwoscc%2Ffull-record%2FWOS:000183658000014","View Full Record in Web of Science")</f>
        <v>View Full Record in Web of Science</v>
      </c>
    </row>
    <row r="420" spans="1:72" x14ac:dyDescent="0.15">
      <c r="A420" t="s">
        <v>72</v>
      </c>
      <c r="B420" t="s">
        <v>6273</v>
      </c>
      <c r="C420" t="s">
        <v>74</v>
      </c>
      <c r="D420" t="s">
        <v>74</v>
      </c>
      <c r="E420" t="s">
        <v>74</v>
      </c>
      <c r="F420" t="s">
        <v>6273</v>
      </c>
      <c r="G420" t="s">
        <v>74</v>
      </c>
      <c r="H420" t="s">
        <v>74</v>
      </c>
      <c r="I420" t="s">
        <v>6274</v>
      </c>
      <c r="J420" t="s">
        <v>1128</v>
      </c>
      <c r="K420" t="s">
        <v>74</v>
      </c>
      <c r="L420" t="s">
        <v>74</v>
      </c>
      <c r="M420" t="s">
        <v>77</v>
      </c>
      <c r="N420" t="s">
        <v>78</v>
      </c>
      <c r="O420" t="s">
        <v>74</v>
      </c>
      <c r="P420" t="s">
        <v>74</v>
      </c>
      <c r="Q420" t="s">
        <v>74</v>
      </c>
      <c r="R420" t="s">
        <v>74</v>
      </c>
      <c r="S420" t="s">
        <v>74</v>
      </c>
      <c r="T420" t="s">
        <v>6275</v>
      </c>
      <c r="U420" t="s">
        <v>6276</v>
      </c>
      <c r="V420" t="s">
        <v>6277</v>
      </c>
      <c r="W420" t="s">
        <v>6278</v>
      </c>
      <c r="X420" t="s">
        <v>3733</v>
      </c>
      <c r="Y420" t="s">
        <v>6279</v>
      </c>
      <c r="Z420" t="s">
        <v>74</v>
      </c>
      <c r="AA420" t="s">
        <v>74</v>
      </c>
      <c r="AB420" t="s">
        <v>6280</v>
      </c>
      <c r="AC420" t="s">
        <v>74</v>
      </c>
      <c r="AD420" t="s">
        <v>74</v>
      </c>
      <c r="AE420" t="s">
        <v>74</v>
      </c>
      <c r="AF420" t="s">
        <v>74</v>
      </c>
      <c r="AG420">
        <v>39</v>
      </c>
      <c r="AH420">
        <v>39</v>
      </c>
      <c r="AI420">
        <v>42</v>
      </c>
      <c r="AJ420">
        <v>0</v>
      </c>
      <c r="AK420">
        <v>7</v>
      </c>
      <c r="AL420" t="s">
        <v>228</v>
      </c>
      <c r="AM420" t="s">
        <v>229</v>
      </c>
      <c r="AN420" t="s">
        <v>1129</v>
      </c>
      <c r="AO420" t="s">
        <v>1130</v>
      </c>
      <c r="AP420" t="s">
        <v>74</v>
      </c>
      <c r="AQ420" t="s">
        <v>74</v>
      </c>
      <c r="AR420" t="s">
        <v>1131</v>
      </c>
      <c r="AS420" t="s">
        <v>1132</v>
      </c>
      <c r="AT420" t="s">
        <v>6124</v>
      </c>
      <c r="AU420">
        <v>2003</v>
      </c>
      <c r="AV420">
        <v>15</v>
      </c>
      <c r="AW420">
        <v>2</v>
      </c>
      <c r="AX420" t="s">
        <v>74</v>
      </c>
      <c r="AY420" t="s">
        <v>74</v>
      </c>
      <c r="AZ420" t="s">
        <v>74</v>
      </c>
      <c r="BA420" t="s">
        <v>74</v>
      </c>
      <c r="BB420">
        <v>303</v>
      </c>
      <c r="BC420">
        <v>313</v>
      </c>
      <c r="BD420" t="s">
        <v>74</v>
      </c>
      <c r="BE420" t="s">
        <v>6281</v>
      </c>
      <c r="BF420" t="str">
        <f>HYPERLINK("http://dx.doi.org/10.1017/S0954102003001299","http://dx.doi.org/10.1017/S0954102003001299")</f>
        <v>http://dx.doi.org/10.1017/S0954102003001299</v>
      </c>
      <c r="BG420" t="s">
        <v>74</v>
      </c>
      <c r="BH420" t="s">
        <v>74</v>
      </c>
      <c r="BI420">
        <v>11</v>
      </c>
      <c r="BJ420" t="s">
        <v>1134</v>
      </c>
      <c r="BK420" t="s">
        <v>94</v>
      </c>
      <c r="BL420" t="s">
        <v>1135</v>
      </c>
      <c r="BM420" t="s">
        <v>6134</v>
      </c>
      <c r="BN420" t="s">
        <v>74</v>
      </c>
      <c r="BO420" t="s">
        <v>74</v>
      </c>
      <c r="BP420" t="s">
        <v>74</v>
      </c>
      <c r="BQ420" t="s">
        <v>74</v>
      </c>
      <c r="BR420" t="s">
        <v>97</v>
      </c>
      <c r="BS420" t="s">
        <v>6282</v>
      </c>
      <c r="BT420" t="str">
        <f>HYPERLINK("https%3A%2F%2Fwww.webofscience.com%2Fwos%2Fwoscc%2Ffull-record%2FWOS:000183658000015","View Full Record in Web of Science")</f>
        <v>View Full Record in Web of Science</v>
      </c>
    </row>
    <row r="421" spans="1:72" x14ac:dyDescent="0.15">
      <c r="A421" t="s">
        <v>72</v>
      </c>
      <c r="B421" t="s">
        <v>6283</v>
      </c>
      <c r="C421" t="s">
        <v>74</v>
      </c>
      <c r="D421" t="s">
        <v>74</v>
      </c>
      <c r="E421" t="s">
        <v>74</v>
      </c>
      <c r="F421" t="s">
        <v>6283</v>
      </c>
      <c r="G421" t="s">
        <v>74</v>
      </c>
      <c r="H421" t="s">
        <v>74</v>
      </c>
      <c r="I421" t="s">
        <v>6284</v>
      </c>
      <c r="J421" t="s">
        <v>1254</v>
      </c>
      <c r="K421" t="s">
        <v>74</v>
      </c>
      <c r="L421" t="s">
        <v>74</v>
      </c>
      <c r="M421" t="s">
        <v>77</v>
      </c>
      <c r="N421" t="s">
        <v>78</v>
      </c>
      <c r="O421" t="s">
        <v>74</v>
      </c>
      <c r="P421" t="s">
        <v>74</v>
      </c>
      <c r="Q421" t="s">
        <v>74</v>
      </c>
      <c r="R421" t="s">
        <v>74</v>
      </c>
      <c r="S421" t="s">
        <v>74</v>
      </c>
      <c r="T421" t="s">
        <v>74</v>
      </c>
      <c r="U421" t="s">
        <v>6285</v>
      </c>
      <c r="V421" t="s">
        <v>6286</v>
      </c>
      <c r="W421" t="s">
        <v>6287</v>
      </c>
      <c r="X421" t="s">
        <v>6288</v>
      </c>
      <c r="Y421" t="s">
        <v>6289</v>
      </c>
      <c r="Z421" t="s">
        <v>6290</v>
      </c>
      <c r="AA421" t="s">
        <v>6291</v>
      </c>
      <c r="AB421" t="s">
        <v>6292</v>
      </c>
      <c r="AC421" t="s">
        <v>74</v>
      </c>
      <c r="AD421" t="s">
        <v>74</v>
      </c>
      <c r="AE421" t="s">
        <v>74</v>
      </c>
      <c r="AF421" t="s">
        <v>74</v>
      </c>
      <c r="AG421">
        <v>71</v>
      </c>
      <c r="AH421">
        <v>124</v>
      </c>
      <c r="AI421">
        <v>153</v>
      </c>
      <c r="AJ421">
        <v>2</v>
      </c>
      <c r="AK421">
        <v>38</v>
      </c>
      <c r="AL421" t="s">
        <v>1263</v>
      </c>
      <c r="AM421" t="s">
        <v>540</v>
      </c>
      <c r="AN421" t="s">
        <v>1264</v>
      </c>
      <c r="AO421" t="s">
        <v>1265</v>
      </c>
      <c r="AP421" t="s">
        <v>74</v>
      </c>
      <c r="AQ421" t="s">
        <v>74</v>
      </c>
      <c r="AR421" t="s">
        <v>1267</v>
      </c>
      <c r="AS421" t="s">
        <v>1268</v>
      </c>
      <c r="AT421" t="s">
        <v>6124</v>
      </c>
      <c r="AU421">
        <v>2003</v>
      </c>
      <c r="AV421">
        <v>69</v>
      </c>
      <c r="AW421">
        <v>6</v>
      </c>
      <c r="AX421" t="s">
        <v>74</v>
      </c>
      <c r="AY421" t="s">
        <v>74</v>
      </c>
      <c r="AZ421" t="s">
        <v>74</v>
      </c>
      <c r="BA421" t="s">
        <v>74</v>
      </c>
      <c r="BB421">
        <v>3181</v>
      </c>
      <c r="BC421">
        <v>3191</v>
      </c>
      <c r="BD421" t="s">
        <v>74</v>
      </c>
      <c r="BE421" t="s">
        <v>6293</v>
      </c>
      <c r="BF421" t="str">
        <f>HYPERLINK("http://dx.doi.org/10.1128/AEM.69.6.3181-3191.2003","http://dx.doi.org/10.1128/AEM.69.6.3181-3191.2003")</f>
        <v>http://dx.doi.org/10.1128/AEM.69.6.3181-3191.2003</v>
      </c>
      <c r="BG421" t="s">
        <v>74</v>
      </c>
      <c r="BH421" t="s">
        <v>74</v>
      </c>
      <c r="BI421">
        <v>11</v>
      </c>
      <c r="BJ421" t="s">
        <v>1270</v>
      </c>
      <c r="BK421" t="s">
        <v>94</v>
      </c>
      <c r="BL421" t="s">
        <v>1270</v>
      </c>
      <c r="BM421" t="s">
        <v>6294</v>
      </c>
      <c r="BN421">
        <v>12788715</v>
      </c>
      <c r="BO421" t="s">
        <v>154</v>
      </c>
      <c r="BP421" t="s">
        <v>74</v>
      </c>
      <c r="BQ421" t="s">
        <v>74</v>
      </c>
      <c r="BR421" t="s">
        <v>97</v>
      </c>
      <c r="BS421" t="s">
        <v>6295</v>
      </c>
      <c r="BT421" t="str">
        <f>HYPERLINK("https%3A%2F%2Fwww.webofscience.com%2Fwos%2Fwoscc%2Ffull-record%2FWOS:000187156200020","View Full Record in Web of Science")</f>
        <v>View Full Record in Web of Science</v>
      </c>
    </row>
    <row r="422" spans="1:72" x14ac:dyDescent="0.15">
      <c r="A422" t="s">
        <v>72</v>
      </c>
      <c r="B422" t="s">
        <v>6296</v>
      </c>
      <c r="C422" t="s">
        <v>74</v>
      </c>
      <c r="D422" t="s">
        <v>74</v>
      </c>
      <c r="E422" t="s">
        <v>74</v>
      </c>
      <c r="F422" t="s">
        <v>6296</v>
      </c>
      <c r="G422" t="s">
        <v>74</v>
      </c>
      <c r="H422" t="s">
        <v>74</v>
      </c>
      <c r="I422" t="s">
        <v>6297</v>
      </c>
      <c r="J422" t="s">
        <v>6298</v>
      </c>
      <c r="K422" t="s">
        <v>74</v>
      </c>
      <c r="L422" t="s">
        <v>74</v>
      </c>
      <c r="M422" t="s">
        <v>77</v>
      </c>
      <c r="N422" t="s">
        <v>78</v>
      </c>
      <c r="O422" t="s">
        <v>74</v>
      </c>
      <c r="P422" t="s">
        <v>74</v>
      </c>
      <c r="Q422" t="s">
        <v>74</v>
      </c>
      <c r="R422" t="s">
        <v>74</v>
      </c>
      <c r="S422" t="s">
        <v>74</v>
      </c>
      <c r="T422" t="s">
        <v>74</v>
      </c>
      <c r="U422" t="s">
        <v>6299</v>
      </c>
      <c r="V422" t="s">
        <v>6300</v>
      </c>
      <c r="W422" t="s">
        <v>5463</v>
      </c>
      <c r="X422" t="s">
        <v>706</v>
      </c>
      <c r="Y422" t="s">
        <v>6301</v>
      </c>
      <c r="Z422" t="s">
        <v>74</v>
      </c>
      <c r="AA422" t="s">
        <v>74</v>
      </c>
      <c r="AB422" t="s">
        <v>6302</v>
      </c>
      <c r="AC422" t="s">
        <v>74</v>
      </c>
      <c r="AD422" t="s">
        <v>74</v>
      </c>
      <c r="AE422" t="s">
        <v>74</v>
      </c>
      <c r="AF422" t="s">
        <v>74</v>
      </c>
      <c r="AG422">
        <v>35</v>
      </c>
      <c r="AH422">
        <v>15</v>
      </c>
      <c r="AI422">
        <v>15</v>
      </c>
      <c r="AJ422">
        <v>0</v>
      </c>
      <c r="AK422">
        <v>7</v>
      </c>
      <c r="AL422" t="s">
        <v>6303</v>
      </c>
      <c r="AM422" t="s">
        <v>1463</v>
      </c>
      <c r="AN422" t="s">
        <v>6304</v>
      </c>
      <c r="AO422" t="s">
        <v>6305</v>
      </c>
      <c r="AP422" t="s">
        <v>74</v>
      </c>
      <c r="AQ422" t="s">
        <v>74</v>
      </c>
      <c r="AR422" t="s">
        <v>6306</v>
      </c>
      <c r="AS422" t="s">
        <v>6307</v>
      </c>
      <c r="AT422" t="s">
        <v>6124</v>
      </c>
      <c r="AU422">
        <v>2003</v>
      </c>
      <c r="AV422">
        <v>41</v>
      </c>
      <c r="AW422">
        <v>2</v>
      </c>
      <c r="AX422" t="s">
        <v>74</v>
      </c>
      <c r="AY422" t="s">
        <v>74</v>
      </c>
      <c r="AZ422" t="s">
        <v>74</v>
      </c>
      <c r="BA422" t="s">
        <v>74</v>
      </c>
      <c r="BB422">
        <v>171</v>
      </c>
      <c r="BC422">
        <v>185</v>
      </c>
      <c r="BD422" t="s">
        <v>74</v>
      </c>
      <c r="BE422" t="s">
        <v>6308</v>
      </c>
      <c r="BF422" t="str">
        <f>HYPERLINK("http://dx.doi.org/10.3137/ao.410205","http://dx.doi.org/10.3137/ao.410205")</f>
        <v>http://dx.doi.org/10.3137/ao.410205</v>
      </c>
      <c r="BG422" t="s">
        <v>74</v>
      </c>
      <c r="BH422" t="s">
        <v>74</v>
      </c>
      <c r="BI422">
        <v>15</v>
      </c>
      <c r="BJ422" t="s">
        <v>5097</v>
      </c>
      <c r="BK422" t="s">
        <v>94</v>
      </c>
      <c r="BL422" t="s">
        <v>5097</v>
      </c>
      <c r="BM422" t="s">
        <v>6309</v>
      </c>
      <c r="BN422" t="s">
        <v>74</v>
      </c>
      <c r="BO422" t="s">
        <v>74</v>
      </c>
      <c r="BP422" t="s">
        <v>74</v>
      </c>
      <c r="BQ422" t="s">
        <v>74</v>
      </c>
      <c r="BR422" t="s">
        <v>97</v>
      </c>
      <c r="BS422" t="s">
        <v>6310</v>
      </c>
      <c r="BT422" t="str">
        <f>HYPERLINK("https%3A%2F%2Fwww.webofscience.com%2Fwos%2Fwoscc%2Ffull-record%2FWOS:000183546600005","View Full Record in Web of Science")</f>
        <v>View Full Record in Web of Science</v>
      </c>
    </row>
    <row r="423" spans="1:72" x14ac:dyDescent="0.15">
      <c r="A423" t="s">
        <v>72</v>
      </c>
      <c r="B423" t="s">
        <v>6311</v>
      </c>
      <c r="C423" t="s">
        <v>74</v>
      </c>
      <c r="D423" t="s">
        <v>74</v>
      </c>
      <c r="E423" t="s">
        <v>74</v>
      </c>
      <c r="F423" t="s">
        <v>6311</v>
      </c>
      <c r="G423" t="s">
        <v>74</v>
      </c>
      <c r="H423" t="s">
        <v>74</v>
      </c>
      <c r="I423" t="s">
        <v>6312</v>
      </c>
      <c r="J423" t="s">
        <v>6313</v>
      </c>
      <c r="K423" t="s">
        <v>74</v>
      </c>
      <c r="L423" t="s">
        <v>74</v>
      </c>
      <c r="M423" t="s">
        <v>77</v>
      </c>
      <c r="N423" t="s">
        <v>78</v>
      </c>
      <c r="O423" t="s">
        <v>74</v>
      </c>
      <c r="P423" t="s">
        <v>74</v>
      </c>
      <c r="Q423" t="s">
        <v>74</v>
      </c>
      <c r="R423" t="s">
        <v>74</v>
      </c>
      <c r="S423" t="s">
        <v>74</v>
      </c>
      <c r="T423" t="s">
        <v>6314</v>
      </c>
      <c r="U423" t="s">
        <v>6315</v>
      </c>
      <c r="V423" t="s">
        <v>6316</v>
      </c>
      <c r="W423" t="s">
        <v>6317</v>
      </c>
      <c r="X423" t="s">
        <v>6318</v>
      </c>
      <c r="Y423" t="s">
        <v>6319</v>
      </c>
      <c r="Z423" t="s">
        <v>74</v>
      </c>
      <c r="AA423" t="s">
        <v>6320</v>
      </c>
      <c r="AB423" t="s">
        <v>6321</v>
      </c>
      <c r="AC423" t="s">
        <v>74</v>
      </c>
      <c r="AD423" t="s">
        <v>74</v>
      </c>
      <c r="AE423" t="s">
        <v>74</v>
      </c>
      <c r="AF423" t="s">
        <v>74</v>
      </c>
      <c r="AG423">
        <v>58</v>
      </c>
      <c r="AH423">
        <v>69</v>
      </c>
      <c r="AI423">
        <v>73</v>
      </c>
      <c r="AJ423">
        <v>1</v>
      </c>
      <c r="AK423">
        <v>18</v>
      </c>
      <c r="AL423" t="s">
        <v>6322</v>
      </c>
      <c r="AM423" t="s">
        <v>6323</v>
      </c>
      <c r="AN423" t="s">
        <v>6324</v>
      </c>
      <c r="AO423" t="s">
        <v>6325</v>
      </c>
      <c r="AP423" t="s">
        <v>74</v>
      </c>
      <c r="AQ423" t="s">
        <v>74</v>
      </c>
      <c r="AR423" t="s">
        <v>6326</v>
      </c>
      <c r="AS423" t="s">
        <v>6327</v>
      </c>
      <c r="AT423" t="s">
        <v>6124</v>
      </c>
      <c r="AU423">
        <v>2003</v>
      </c>
      <c r="AV423">
        <v>28</v>
      </c>
      <c r="AW423">
        <v>3</v>
      </c>
      <c r="AX423" t="s">
        <v>74</v>
      </c>
      <c r="AY423" t="s">
        <v>74</v>
      </c>
      <c r="AZ423" t="s">
        <v>74</v>
      </c>
      <c r="BA423" t="s">
        <v>74</v>
      </c>
      <c r="BB423">
        <v>287</v>
      </c>
      <c r="BC423">
        <v>304</v>
      </c>
      <c r="BD423" t="s">
        <v>74</v>
      </c>
      <c r="BE423" t="s">
        <v>6328</v>
      </c>
      <c r="BF423" t="str">
        <f>HYPERLINK("http://dx.doi.org/10.1046/j.1442-9993.2003.01289.x","http://dx.doi.org/10.1046/j.1442-9993.2003.01289.x")</f>
        <v>http://dx.doi.org/10.1046/j.1442-9993.2003.01289.x</v>
      </c>
      <c r="BG423" t="s">
        <v>74</v>
      </c>
      <c r="BH423" t="s">
        <v>74</v>
      </c>
      <c r="BI423">
        <v>18</v>
      </c>
      <c r="BJ423" t="s">
        <v>3535</v>
      </c>
      <c r="BK423" t="s">
        <v>94</v>
      </c>
      <c r="BL423" t="s">
        <v>2512</v>
      </c>
      <c r="BM423" t="s">
        <v>6329</v>
      </c>
      <c r="BN423" t="s">
        <v>74</v>
      </c>
      <c r="BO423" t="s">
        <v>74</v>
      </c>
      <c r="BP423" t="s">
        <v>74</v>
      </c>
      <c r="BQ423" t="s">
        <v>74</v>
      </c>
      <c r="BR423" t="s">
        <v>97</v>
      </c>
      <c r="BS423" t="s">
        <v>6330</v>
      </c>
      <c r="BT423" t="str">
        <f>HYPERLINK("https%3A%2F%2Fwww.webofscience.com%2Fwos%2Fwoscc%2Ffull-record%2FWOS:000183797900007","View Full Record in Web of Science")</f>
        <v>View Full Record in Web of Science</v>
      </c>
    </row>
    <row r="424" spans="1:72" x14ac:dyDescent="0.15">
      <c r="A424" t="s">
        <v>72</v>
      </c>
      <c r="B424" t="s">
        <v>6331</v>
      </c>
      <c r="C424" t="s">
        <v>74</v>
      </c>
      <c r="D424" t="s">
        <v>74</v>
      </c>
      <c r="E424" t="s">
        <v>74</v>
      </c>
      <c r="F424" t="s">
        <v>6331</v>
      </c>
      <c r="G424" t="s">
        <v>74</v>
      </c>
      <c r="H424" t="s">
        <v>74</v>
      </c>
      <c r="I424" t="s">
        <v>6332</v>
      </c>
      <c r="J424" t="s">
        <v>6333</v>
      </c>
      <c r="K424" t="s">
        <v>74</v>
      </c>
      <c r="L424" t="s">
        <v>74</v>
      </c>
      <c r="M424" t="s">
        <v>77</v>
      </c>
      <c r="N424" t="s">
        <v>78</v>
      </c>
      <c r="O424" t="s">
        <v>74</v>
      </c>
      <c r="P424" t="s">
        <v>74</v>
      </c>
      <c r="Q424" t="s">
        <v>74</v>
      </c>
      <c r="R424" t="s">
        <v>74</v>
      </c>
      <c r="S424" t="s">
        <v>74</v>
      </c>
      <c r="T424" t="s">
        <v>74</v>
      </c>
      <c r="U424" t="s">
        <v>6334</v>
      </c>
      <c r="V424" t="s">
        <v>6335</v>
      </c>
      <c r="W424" t="s">
        <v>74</v>
      </c>
      <c r="X424" t="s">
        <v>74</v>
      </c>
      <c r="Y424" t="s">
        <v>74</v>
      </c>
      <c r="Z424" t="s">
        <v>74</v>
      </c>
      <c r="AA424" t="s">
        <v>6336</v>
      </c>
      <c r="AB424" t="s">
        <v>6337</v>
      </c>
      <c r="AC424" t="s">
        <v>74</v>
      </c>
      <c r="AD424" t="s">
        <v>74</v>
      </c>
      <c r="AE424" t="s">
        <v>74</v>
      </c>
      <c r="AF424" t="s">
        <v>74</v>
      </c>
      <c r="AG424">
        <v>86</v>
      </c>
      <c r="AH424">
        <v>35</v>
      </c>
      <c r="AI424">
        <v>40</v>
      </c>
      <c r="AJ424">
        <v>0</v>
      </c>
      <c r="AK424">
        <v>16</v>
      </c>
      <c r="AL424" t="s">
        <v>85</v>
      </c>
      <c r="AM424" t="s">
        <v>86</v>
      </c>
      <c r="AN424" t="s">
        <v>87</v>
      </c>
      <c r="AO424" t="s">
        <v>6338</v>
      </c>
      <c r="AP424" t="s">
        <v>6339</v>
      </c>
      <c r="AQ424" t="s">
        <v>74</v>
      </c>
      <c r="AR424" t="s">
        <v>6340</v>
      </c>
      <c r="AS424" t="s">
        <v>6341</v>
      </c>
      <c r="AT424" t="s">
        <v>6124</v>
      </c>
      <c r="AU424">
        <v>2003</v>
      </c>
      <c r="AV424">
        <v>84</v>
      </c>
      <c r="AW424">
        <v>6</v>
      </c>
      <c r="AX424" t="s">
        <v>74</v>
      </c>
      <c r="AY424" t="s">
        <v>74</v>
      </c>
      <c r="AZ424" t="s">
        <v>74</v>
      </c>
      <c r="BA424" t="s">
        <v>74</v>
      </c>
      <c r="BB424" t="s">
        <v>6342</v>
      </c>
      <c r="BC424" t="s">
        <v>6343</v>
      </c>
      <c r="BD424" t="s">
        <v>74</v>
      </c>
      <c r="BE424" t="s">
        <v>6344</v>
      </c>
      <c r="BF424" t="str">
        <f>HYPERLINK("http://dx.doi.org/10.1175/BAMS-84-6-Waple","http://dx.doi.org/10.1175/BAMS-84-6-Waple")</f>
        <v>http://dx.doi.org/10.1175/BAMS-84-6-Waple</v>
      </c>
      <c r="BG424" t="s">
        <v>74</v>
      </c>
      <c r="BH424" t="s">
        <v>74</v>
      </c>
      <c r="BI424">
        <v>68</v>
      </c>
      <c r="BJ424" t="s">
        <v>93</v>
      </c>
      <c r="BK424" t="s">
        <v>94</v>
      </c>
      <c r="BL424" t="s">
        <v>93</v>
      </c>
      <c r="BM424" t="s">
        <v>6345</v>
      </c>
      <c r="BN424" t="s">
        <v>74</v>
      </c>
      <c r="BO424" t="s">
        <v>74</v>
      </c>
      <c r="BP424" t="s">
        <v>74</v>
      </c>
      <c r="BQ424" t="s">
        <v>74</v>
      </c>
      <c r="BR424" t="s">
        <v>97</v>
      </c>
      <c r="BS424" t="s">
        <v>6346</v>
      </c>
      <c r="BT424" t="str">
        <f>HYPERLINK("https%3A%2F%2Fwww.webofscience.com%2Fwos%2Fwoscc%2Ffull-record%2FWOS:000183645000013","View Full Record in Web of Science")</f>
        <v>View Full Record in Web of Science</v>
      </c>
    </row>
    <row r="425" spans="1:72" x14ac:dyDescent="0.15">
      <c r="A425" t="s">
        <v>72</v>
      </c>
      <c r="B425" t="s">
        <v>6347</v>
      </c>
      <c r="C425" t="s">
        <v>74</v>
      </c>
      <c r="D425" t="s">
        <v>74</v>
      </c>
      <c r="E425" t="s">
        <v>74</v>
      </c>
      <c r="F425" t="s">
        <v>6347</v>
      </c>
      <c r="G425" t="s">
        <v>74</v>
      </c>
      <c r="H425" t="s">
        <v>74</v>
      </c>
      <c r="I425" t="s">
        <v>6348</v>
      </c>
      <c r="J425" t="s">
        <v>3360</v>
      </c>
      <c r="K425" t="s">
        <v>74</v>
      </c>
      <c r="L425" t="s">
        <v>74</v>
      </c>
      <c r="M425" t="s">
        <v>77</v>
      </c>
      <c r="N425" t="s">
        <v>78</v>
      </c>
      <c r="O425" t="s">
        <v>74</v>
      </c>
      <c r="P425" t="s">
        <v>74</v>
      </c>
      <c r="Q425" t="s">
        <v>74</v>
      </c>
      <c r="R425" t="s">
        <v>74</v>
      </c>
      <c r="S425" t="s">
        <v>74</v>
      </c>
      <c r="T425" t="s">
        <v>6349</v>
      </c>
      <c r="U425" t="s">
        <v>6350</v>
      </c>
      <c r="V425" t="s">
        <v>6351</v>
      </c>
      <c r="W425" t="s">
        <v>6352</v>
      </c>
      <c r="X425" t="s">
        <v>6353</v>
      </c>
      <c r="Y425" t="s">
        <v>6354</v>
      </c>
      <c r="Z425" t="s">
        <v>6355</v>
      </c>
      <c r="AA425" t="s">
        <v>74</v>
      </c>
      <c r="AB425" t="s">
        <v>74</v>
      </c>
      <c r="AC425" t="s">
        <v>74</v>
      </c>
      <c r="AD425" t="s">
        <v>74</v>
      </c>
      <c r="AE425" t="s">
        <v>74</v>
      </c>
      <c r="AF425" t="s">
        <v>74</v>
      </c>
      <c r="AG425">
        <v>16</v>
      </c>
      <c r="AH425">
        <v>0</v>
      </c>
      <c r="AI425">
        <v>0</v>
      </c>
      <c r="AJ425">
        <v>2</v>
      </c>
      <c r="AK425">
        <v>6</v>
      </c>
      <c r="AL425" t="s">
        <v>3369</v>
      </c>
      <c r="AM425" t="s">
        <v>3370</v>
      </c>
      <c r="AN425" t="s">
        <v>3371</v>
      </c>
      <c r="AO425" t="s">
        <v>3372</v>
      </c>
      <c r="AP425" t="s">
        <v>3373</v>
      </c>
      <c r="AQ425" t="s">
        <v>74</v>
      </c>
      <c r="AR425" t="s">
        <v>3374</v>
      </c>
      <c r="AS425" t="s">
        <v>3375</v>
      </c>
      <c r="AT425" t="s">
        <v>6124</v>
      </c>
      <c r="AU425">
        <v>2003</v>
      </c>
      <c r="AV425">
        <v>48</v>
      </c>
      <c r="AW425" t="s">
        <v>74</v>
      </c>
      <c r="AX425" t="s">
        <v>74</v>
      </c>
      <c r="AY425" t="s">
        <v>5377</v>
      </c>
      <c r="AZ425" t="s">
        <v>74</v>
      </c>
      <c r="BA425" t="s">
        <v>74</v>
      </c>
      <c r="BB425">
        <v>106</v>
      </c>
      <c r="BC425">
        <v>110</v>
      </c>
      <c r="BD425" t="s">
        <v>74</v>
      </c>
      <c r="BE425" t="s">
        <v>6356</v>
      </c>
      <c r="BF425" t="str">
        <f>HYPERLINK("http://dx.doi.org/10.1007/BF02900948","http://dx.doi.org/10.1007/BF02900948")</f>
        <v>http://dx.doi.org/10.1007/BF02900948</v>
      </c>
      <c r="BG425" t="s">
        <v>74</v>
      </c>
      <c r="BH425" t="s">
        <v>74</v>
      </c>
      <c r="BI425">
        <v>5</v>
      </c>
      <c r="BJ425" t="s">
        <v>971</v>
      </c>
      <c r="BK425" t="s">
        <v>94</v>
      </c>
      <c r="BL425" t="s">
        <v>972</v>
      </c>
      <c r="BM425" t="s">
        <v>6357</v>
      </c>
      <c r="BN425" t="s">
        <v>74</v>
      </c>
      <c r="BO425" t="s">
        <v>74</v>
      </c>
      <c r="BP425" t="s">
        <v>74</v>
      </c>
      <c r="BQ425" t="s">
        <v>74</v>
      </c>
      <c r="BR425" t="s">
        <v>97</v>
      </c>
      <c r="BS425" t="s">
        <v>6358</v>
      </c>
      <c r="BT425" t="str">
        <f>HYPERLINK("https%3A%2F%2Fwww.webofscience.com%2Fwos%2Fwoscc%2Ffull-record%2FWOS:000183335900016","View Full Record in Web of Science")</f>
        <v>View Full Record in Web of Science</v>
      </c>
    </row>
    <row r="426" spans="1:72" x14ac:dyDescent="0.15">
      <c r="A426" t="s">
        <v>72</v>
      </c>
      <c r="B426" t="s">
        <v>6359</v>
      </c>
      <c r="C426" t="s">
        <v>74</v>
      </c>
      <c r="D426" t="s">
        <v>74</v>
      </c>
      <c r="E426" t="s">
        <v>74</v>
      </c>
      <c r="F426" t="s">
        <v>6359</v>
      </c>
      <c r="G426" t="s">
        <v>74</v>
      </c>
      <c r="H426" t="s">
        <v>74</v>
      </c>
      <c r="I426" t="s">
        <v>6360</v>
      </c>
      <c r="J426" t="s">
        <v>6361</v>
      </c>
      <c r="K426" t="s">
        <v>74</v>
      </c>
      <c r="L426" t="s">
        <v>74</v>
      </c>
      <c r="M426" t="s">
        <v>77</v>
      </c>
      <c r="N426" t="s">
        <v>78</v>
      </c>
      <c r="O426" t="s">
        <v>74</v>
      </c>
      <c r="P426" t="s">
        <v>74</v>
      </c>
      <c r="Q426" t="s">
        <v>74</v>
      </c>
      <c r="R426" t="s">
        <v>74</v>
      </c>
      <c r="S426" t="s">
        <v>74</v>
      </c>
      <c r="T426" t="s">
        <v>6362</v>
      </c>
      <c r="U426" t="s">
        <v>6363</v>
      </c>
      <c r="V426" t="s">
        <v>6364</v>
      </c>
      <c r="W426" t="s">
        <v>6365</v>
      </c>
      <c r="X426" t="s">
        <v>6366</v>
      </c>
      <c r="Y426" t="s">
        <v>6367</v>
      </c>
      <c r="Z426" t="s">
        <v>6368</v>
      </c>
      <c r="AA426" t="s">
        <v>6369</v>
      </c>
      <c r="AB426" t="s">
        <v>6370</v>
      </c>
      <c r="AC426" t="s">
        <v>74</v>
      </c>
      <c r="AD426" t="s">
        <v>74</v>
      </c>
      <c r="AE426" t="s">
        <v>74</v>
      </c>
      <c r="AF426" t="s">
        <v>74</v>
      </c>
      <c r="AG426">
        <v>29</v>
      </c>
      <c r="AH426">
        <v>24</v>
      </c>
      <c r="AI426">
        <v>27</v>
      </c>
      <c r="AJ426">
        <v>0</v>
      </c>
      <c r="AK426">
        <v>5</v>
      </c>
      <c r="AL426" t="s">
        <v>1571</v>
      </c>
      <c r="AM426" t="s">
        <v>229</v>
      </c>
      <c r="AN426" t="s">
        <v>6371</v>
      </c>
      <c r="AO426" t="s">
        <v>6372</v>
      </c>
      <c r="AP426" t="s">
        <v>6373</v>
      </c>
      <c r="AQ426" t="s">
        <v>74</v>
      </c>
      <c r="AR426" t="s">
        <v>6374</v>
      </c>
      <c r="AS426" t="s">
        <v>6375</v>
      </c>
      <c r="AT426" t="s">
        <v>6124</v>
      </c>
      <c r="AU426">
        <v>2003</v>
      </c>
      <c r="AV426">
        <v>135</v>
      </c>
      <c r="AW426">
        <v>2</v>
      </c>
      <c r="AX426" t="s">
        <v>74</v>
      </c>
      <c r="AY426" t="s">
        <v>74</v>
      </c>
      <c r="AZ426" t="s">
        <v>74</v>
      </c>
      <c r="BA426" t="s">
        <v>74</v>
      </c>
      <c r="BB426">
        <v>349</v>
      </c>
      <c r="BC426">
        <v>357</v>
      </c>
      <c r="BD426" t="s">
        <v>74</v>
      </c>
      <c r="BE426" t="s">
        <v>6376</v>
      </c>
      <c r="BF426" t="str">
        <f>HYPERLINK("http://dx.doi.org/10.1016/S1096-4959(03)00090-3","http://dx.doi.org/10.1016/S1096-4959(03)00090-3")</f>
        <v>http://dx.doi.org/10.1016/S1096-4959(03)00090-3</v>
      </c>
      <c r="BG426" t="s">
        <v>74</v>
      </c>
      <c r="BH426" t="s">
        <v>74</v>
      </c>
      <c r="BI426">
        <v>9</v>
      </c>
      <c r="BJ426" t="s">
        <v>6377</v>
      </c>
      <c r="BK426" t="s">
        <v>94</v>
      </c>
      <c r="BL426" t="s">
        <v>6377</v>
      </c>
      <c r="BM426" t="s">
        <v>6378</v>
      </c>
      <c r="BN426">
        <v>12798944</v>
      </c>
      <c r="BO426" t="s">
        <v>74</v>
      </c>
      <c r="BP426" t="s">
        <v>74</v>
      </c>
      <c r="BQ426" t="s">
        <v>74</v>
      </c>
      <c r="BR426" t="s">
        <v>97</v>
      </c>
      <c r="BS426" t="s">
        <v>6379</v>
      </c>
      <c r="BT426" t="str">
        <f>HYPERLINK("https%3A%2F%2Fwww.webofscience.com%2Fwos%2Fwoscc%2Ffull-record%2FWOS:000183630600013","View Full Record in Web of Science")</f>
        <v>View Full Record in Web of Science</v>
      </c>
    </row>
    <row r="427" spans="1:72" x14ac:dyDescent="0.15">
      <c r="A427" t="s">
        <v>72</v>
      </c>
      <c r="B427" t="s">
        <v>6380</v>
      </c>
      <c r="C427" t="s">
        <v>74</v>
      </c>
      <c r="D427" t="s">
        <v>74</v>
      </c>
      <c r="E427" t="s">
        <v>74</v>
      </c>
      <c r="F427" t="s">
        <v>6380</v>
      </c>
      <c r="G427" t="s">
        <v>74</v>
      </c>
      <c r="H427" t="s">
        <v>74</v>
      </c>
      <c r="I427" t="s">
        <v>6381</v>
      </c>
      <c r="J427" t="s">
        <v>6382</v>
      </c>
      <c r="K427" t="s">
        <v>74</v>
      </c>
      <c r="L427" t="s">
        <v>74</v>
      </c>
      <c r="M427" t="s">
        <v>6383</v>
      </c>
      <c r="N427" t="s">
        <v>78</v>
      </c>
      <c r="O427" t="s">
        <v>74</v>
      </c>
      <c r="P427" t="s">
        <v>74</v>
      </c>
      <c r="Q427" t="s">
        <v>74</v>
      </c>
      <c r="R427" t="s">
        <v>74</v>
      </c>
      <c r="S427" t="s">
        <v>74</v>
      </c>
      <c r="T427" t="s">
        <v>6384</v>
      </c>
      <c r="U427" t="s">
        <v>6385</v>
      </c>
      <c r="V427" t="s">
        <v>6386</v>
      </c>
      <c r="W427" t="s">
        <v>6387</v>
      </c>
      <c r="X427" t="s">
        <v>6388</v>
      </c>
      <c r="Y427" t="s">
        <v>6389</v>
      </c>
      <c r="Z427" t="s">
        <v>5848</v>
      </c>
      <c r="AA427" t="s">
        <v>74</v>
      </c>
      <c r="AB427" t="s">
        <v>74</v>
      </c>
      <c r="AC427" t="s">
        <v>74</v>
      </c>
      <c r="AD427" t="s">
        <v>74</v>
      </c>
      <c r="AE427" t="s">
        <v>74</v>
      </c>
      <c r="AF427" t="s">
        <v>74</v>
      </c>
      <c r="AG427">
        <v>60</v>
      </c>
      <c r="AH427">
        <v>8</v>
      </c>
      <c r="AI427">
        <v>8</v>
      </c>
      <c r="AJ427">
        <v>0</v>
      </c>
      <c r="AK427">
        <v>12</v>
      </c>
      <c r="AL427" t="s">
        <v>6390</v>
      </c>
      <c r="AM427" t="s">
        <v>6391</v>
      </c>
      <c r="AN427" t="s">
        <v>6392</v>
      </c>
      <c r="AO427" t="s">
        <v>6393</v>
      </c>
      <c r="AP427" t="s">
        <v>6394</v>
      </c>
      <c r="AQ427" t="s">
        <v>74</v>
      </c>
      <c r="AR427" t="s">
        <v>6395</v>
      </c>
      <c r="AS427" t="s">
        <v>6396</v>
      </c>
      <c r="AT427" t="s">
        <v>6397</v>
      </c>
      <c r="AU427">
        <v>2003</v>
      </c>
      <c r="AV427">
        <v>335</v>
      </c>
      <c r="AW427" t="s">
        <v>6398</v>
      </c>
      <c r="AX427" t="s">
        <v>74</v>
      </c>
      <c r="AY427" t="s">
        <v>74</v>
      </c>
      <c r="AZ427" t="s">
        <v>74</v>
      </c>
      <c r="BA427" t="s">
        <v>74</v>
      </c>
      <c r="BB427">
        <v>509</v>
      </c>
      <c r="BC427">
        <v>524</v>
      </c>
      <c r="BD427" t="s">
        <v>74</v>
      </c>
      <c r="BE427" t="s">
        <v>6399</v>
      </c>
      <c r="BF427" t="str">
        <f>HYPERLINK("http://dx.doi.org/10.1016/S1631-0713(03)00103-2","http://dx.doi.org/10.1016/S1631-0713(03)00103-2")</f>
        <v>http://dx.doi.org/10.1016/S1631-0713(03)00103-2</v>
      </c>
      <c r="BG427" t="s">
        <v>74</v>
      </c>
      <c r="BH427" t="s">
        <v>74</v>
      </c>
      <c r="BI427">
        <v>16</v>
      </c>
      <c r="BJ427" t="s">
        <v>548</v>
      </c>
      <c r="BK427" t="s">
        <v>94</v>
      </c>
      <c r="BL427" t="s">
        <v>549</v>
      </c>
      <c r="BM427" t="s">
        <v>6400</v>
      </c>
      <c r="BN427" t="s">
        <v>74</v>
      </c>
      <c r="BO427" t="s">
        <v>1767</v>
      </c>
      <c r="BP427" t="s">
        <v>74</v>
      </c>
      <c r="BQ427" t="s">
        <v>74</v>
      </c>
      <c r="BR427" t="s">
        <v>97</v>
      </c>
      <c r="BS427" t="s">
        <v>6401</v>
      </c>
      <c r="BT427" t="str">
        <f>HYPERLINK("https%3A%2F%2Fwww.webofscience.com%2Fwos%2Fwoscc%2Ffull-record%2FWOS:000185817300003","View Full Record in Web of Science")</f>
        <v>View Full Record in Web of Science</v>
      </c>
    </row>
    <row r="428" spans="1:72" x14ac:dyDescent="0.15">
      <c r="A428" t="s">
        <v>72</v>
      </c>
      <c r="B428" t="s">
        <v>6402</v>
      </c>
      <c r="C428" t="s">
        <v>74</v>
      </c>
      <c r="D428" t="s">
        <v>74</v>
      </c>
      <c r="E428" t="s">
        <v>74</v>
      </c>
      <c r="F428" t="s">
        <v>6402</v>
      </c>
      <c r="G428" t="s">
        <v>74</v>
      </c>
      <c r="H428" t="s">
        <v>74</v>
      </c>
      <c r="I428" t="s">
        <v>6403</v>
      </c>
      <c r="J428" t="s">
        <v>6382</v>
      </c>
      <c r="K428" t="s">
        <v>74</v>
      </c>
      <c r="L428" t="s">
        <v>74</v>
      </c>
      <c r="M428" t="s">
        <v>6383</v>
      </c>
      <c r="N428" t="s">
        <v>78</v>
      </c>
      <c r="O428" t="s">
        <v>74</v>
      </c>
      <c r="P428" t="s">
        <v>74</v>
      </c>
      <c r="Q428" t="s">
        <v>74</v>
      </c>
      <c r="R428" t="s">
        <v>74</v>
      </c>
      <c r="S428" t="s">
        <v>74</v>
      </c>
      <c r="T428" t="s">
        <v>6404</v>
      </c>
      <c r="U428" t="s">
        <v>6405</v>
      </c>
      <c r="V428" t="s">
        <v>6406</v>
      </c>
      <c r="W428" t="s">
        <v>6407</v>
      </c>
      <c r="X428" t="s">
        <v>6408</v>
      </c>
      <c r="Y428" t="s">
        <v>6409</v>
      </c>
      <c r="Z428" t="s">
        <v>74</v>
      </c>
      <c r="AA428" t="s">
        <v>74</v>
      </c>
      <c r="AB428" t="s">
        <v>74</v>
      </c>
      <c r="AC428" t="s">
        <v>74</v>
      </c>
      <c r="AD428" t="s">
        <v>74</v>
      </c>
      <c r="AE428" t="s">
        <v>74</v>
      </c>
      <c r="AF428" t="s">
        <v>74</v>
      </c>
      <c r="AG428">
        <v>22</v>
      </c>
      <c r="AH428">
        <v>11</v>
      </c>
      <c r="AI428">
        <v>11</v>
      </c>
      <c r="AJ428">
        <v>1</v>
      </c>
      <c r="AK428">
        <v>11</v>
      </c>
      <c r="AL428" t="s">
        <v>6410</v>
      </c>
      <c r="AM428" t="s">
        <v>6411</v>
      </c>
      <c r="AN428" t="s">
        <v>6412</v>
      </c>
      <c r="AO428" t="s">
        <v>6393</v>
      </c>
      <c r="AP428" t="s">
        <v>74</v>
      </c>
      <c r="AQ428" t="s">
        <v>74</v>
      </c>
      <c r="AR428" t="s">
        <v>6395</v>
      </c>
      <c r="AS428" t="s">
        <v>6396</v>
      </c>
      <c r="AT428" t="s">
        <v>6397</v>
      </c>
      <c r="AU428">
        <v>2003</v>
      </c>
      <c r="AV428">
        <v>335</v>
      </c>
      <c r="AW428" t="s">
        <v>6398</v>
      </c>
      <c r="AX428" t="s">
        <v>74</v>
      </c>
      <c r="AY428" t="s">
        <v>74</v>
      </c>
      <c r="AZ428" t="s">
        <v>74</v>
      </c>
      <c r="BA428" t="s">
        <v>74</v>
      </c>
      <c r="BB428">
        <v>551</v>
      </c>
      <c r="BC428">
        <v>560</v>
      </c>
      <c r="BD428" t="s">
        <v>74</v>
      </c>
      <c r="BE428" t="s">
        <v>6413</v>
      </c>
      <c r="BF428" t="str">
        <f>HYPERLINK("http://dx.doi.org/10.1016/S1631-0713(03)00101-9","http://dx.doi.org/10.1016/S1631-0713(03)00101-9")</f>
        <v>http://dx.doi.org/10.1016/S1631-0713(03)00101-9</v>
      </c>
      <c r="BG428" t="s">
        <v>74</v>
      </c>
      <c r="BH428" t="s">
        <v>74</v>
      </c>
      <c r="BI428">
        <v>10</v>
      </c>
      <c r="BJ428" t="s">
        <v>548</v>
      </c>
      <c r="BK428" t="s">
        <v>94</v>
      </c>
      <c r="BL428" t="s">
        <v>549</v>
      </c>
      <c r="BM428" t="s">
        <v>6400</v>
      </c>
      <c r="BN428" t="s">
        <v>74</v>
      </c>
      <c r="BO428" t="s">
        <v>1767</v>
      </c>
      <c r="BP428" t="s">
        <v>74</v>
      </c>
      <c r="BQ428" t="s">
        <v>74</v>
      </c>
      <c r="BR428" t="s">
        <v>97</v>
      </c>
      <c r="BS428" t="s">
        <v>6414</v>
      </c>
      <c r="BT428" t="str">
        <f>HYPERLINK("https%3A%2F%2Fwww.webofscience.com%2Fwos%2Fwoscc%2Ffull-record%2FWOS:000185817300007","View Full Record in Web of Science")</f>
        <v>View Full Record in Web of Science</v>
      </c>
    </row>
    <row r="429" spans="1:72" x14ac:dyDescent="0.15">
      <c r="A429" t="s">
        <v>72</v>
      </c>
      <c r="B429" t="s">
        <v>6415</v>
      </c>
      <c r="C429" t="s">
        <v>74</v>
      </c>
      <c r="D429" t="s">
        <v>74</v>
      </c>
      <c r="E429" t="s">
        <v>74</v>
      </c>
      <c r="F429" t="s">
        <v>6415</v>
      </c>
      <c r="G429" t="s">
        <v>74</v>
      </c>
      <c r="H429" t="s">
        <v>74</v>
      </c>
      <c r="I429" t="s">
        <v>6416</v>
      </c>
      <c r="J429" t="s">
        <v>1603</v>
      </c>
      <c r="K429" t="s">
        <v>74</v>
      </c>
      <c r="L429" t="s">
        <v>74</v>
      </c>
      <c r="M429" t="s">
        <v>77</v>
      </c>
      <c r="N429" t="s">
        <v>78</v>
      </c>
      <c r="O429" t="s">
        <v>74</v>
      </c>
      <c r="P429" t="s">
        <v>74</v>
      </c>
      <c r="Q429" t="s">
        <v>74</v>
      </c>
      <c r="R429" t="s">
        <v>74</v>
      </c>
      <c r="S429" t="s">
        <v>74</v>
      </c>
      <c r="T429" t="s">
        <v>6417</v>
      </c>
      <c r="U429" t="s">
        <v>6418</v>
      </c>
      <c r="V429" t="s">
        <v>6419</v>
      </c>
      <c r="W429" t="s">
        <v>6420</v>
      </c>
      <c r="X429" t="s">
        <v>5334</v>
      </c>
      <c r="Y429" t="s">
        <v>6421</v>
      </c>
      <c r="Z429" t="s">
        <v>6422</v>
      </c>
      <c r="AA429" t="s">
        <v>74</v>
      </c>
      <c r="AB429" t="s">
        <v>74</v>
      </c>
      <c r="AC429" t="s">
        <v>74</v>
      </c>
      <c r="AD429" t="s">
        <v>74</v>
      </c>
      <c r="AE429" t="s">
        <v>74</v>
      </c>
      <c r="AF429" t="s">
        <v>74</v>
      </c>
      <c r="AG429">
        <v>46</v>
      </c>
      <c r="AH429">
        <v>20</v>
      </c>
      <c r="AI429">
        <v>22</v>
      </c>
      <c r="AJ429">
        <v>0</v>
      </c>
      <c r="AK429">
        <v>3</v>
      </c>
      <c r="AL429" t="s">
        <v>169</v>
      </c>
      <c r="AM429" t="s">
        <v>170</v>
      </c>
      <c r="AN429" t="s">
        <v>171</v>
      </c>
      <c r="AO429" t="s">
        <v>1613</v>
      </c>
      <c r="AP429" t="s">
        <v>1614</v>
      </c>
      <c r="AQ429" t="s">
        <v>74</v>
      </c>
      <c r="AR429" t="s">
        <v>1615</v>
      </c>
      <c r="AS429" t="s">
        <v>1616</v>
      </c>
      <c r="AT429" t="s">
        <v>6124</v>
      </c>
      <c r="AU429">
        <v>2003</v>
      </c>
      <c r="AV429">
        <v>50</v>
      </c>
      <c r="AW429">
        <v>6</v>
      </c>
      <c r="AX429" t="s">
        <v>74</v>
      </c>
      <c r="AY429" t="s">
        <v>74</v>
      </c>
      <c r="AZ429" t="s">
        <v>74</v>
      </c>
      <c r="BA429" t="s">
        <v>74</v>
      </c>
      <c r="BB429">
        <v>721</v>
      </c>
      <c r="BC429">
        <v>735</v>
      </c>
      <c r="BD429" t="s">
        <v>74</v>
      </c>
      <c r="BE429" t="s">
        <v>6423</v>
      </c>
      <c r="BF429" t="str">
        <f>HYPERLINK("http://dx.doi.org/10.1016/S0967-0637(03)00058-X","http://dx.doi.org/10.1016/S0967-0637(03)00058-X")</f>
        <v>http://dx.doi.org/10.1016/S0967-0637(03)00058-X</v>
      </c>
      <c r="BG429" t="s">
        <v>74</v>
      </c>
      <c r="BH429" t="s">
        <v>74</v>
      </c>
      <c r="BI429">
        <v>15</v>
      </c>
      <c r="BJ429" t="s">
        <v>678</v>
      </c>
      <c r="BK429" t="s">
        <v>94</v>
      </c>
      <c r="BL429" t="s">
        <v>678</v>
      </c>
      <c r="BM429" t="s">
        <v>6424</v>
      </c>
      <c r="BN429" t="s">
        <v>74</v>
      </c>
      <c r="BO429" t="s">
        <v>74</v>
      </c>
      <c r="BP429" t="s">
        <v>74</v>
      </c>
      <c r="BQ429" t="s">
        <v>74</v>
      </c>
      <c r="BR429" t="s">
        <v>97</v>
      </c>
      <c r="BS429" t="s">
        <v>6425</v>
      </c>
      <c r="BT429" t="str">
        <f>HYPERLINK("https%3A%2F%2Fwww.webofscience.com%2Fwos%2Fwoscc%2Ffull-record%2FWOS:000188458400003","View Full Record in Web of Science")</f>
        <v>View Full Record in Web of Science</v>
      </c>
    </row>
    <row r="430" spans="1:72" x14ac:dyDescent="0.15">
      <c r="A430" t="s">
        <v>72</v>
      </c>
      <c r="B430" t="s">
        <v>6426</v>
      </c>
      <c r="C430" t="s">
        <v>74</v>
      </c>
      <c r="D430" t="s">
        <v>74</v>
      </c>
      <c r="E430" t="s">
        <v>74</v>
      </c>
      <c r="F430" t="s">
        <v>6426</v>
      </c>
      <c r="G430" t="s">
        <v>74</v>
      </c>
      <c r="H430" t="s">
        <v>74</v>
      </c>
      <c r="I430" t="s">
        <v>6427</v>
      </c>
      <c r="J430" t="s">
        <v>6428</v>
      </c>
      <c r="K430" t="s">
        <v>74</v>
      </c>
      <c r="L430" t="s">
        <v>74</v>
      </c>
      <c r="M430" t="s">
        <v>77</v>
      </c>
      <c r="N430" t="s">
        <v>78</v>
      </c>
      <c r="O430" t="s">
        <v>74</v>
      </c>
      <c r="P430" t="s">
        <v>74</v>
      </c>
      <c r="Q430" t="s">
        <v>74</v>
      </c>
      <c r="R430" t="s">
        <v>74</v>
      </c>
      <c r="S430" t="s">
        <v>74</v>
      </c>
      <c r="T430" t="s">
        <v>6429</v>
      </c>
      <c r="U430" t="s">
        <v>6430</v>
      </c>
      <c r="V430" t="s">
        <v>6431</v>
      </c>
      <c r="W430" t="s">
        <v>6432</v>
      </c>
      <c r="X430" t="s">
        <v>6433</v>
      </c>
      <c r="Y430" t="s">
        <v>6434</v>
      </c>
      <c r="Z430" t="s">
        <v>74</v>
      </c>
      <c r="AA430" t="s">
        <v>6435</v>
      </c>
      <c r="AB430" t="s">
        <v>6436</v>
      </c>
      <c r="AC430" t="s">
        <v>74</v>
      </c>
      <c r="AD430" t="s">
        <v>74</v>
      </c>
      <c r="AE430" t="s">
        <v>74</v>
      </c>
      <c r="AF430" t="s">
        <v>74</v>
      </c>
      <c r="AG430">
        <v>42</v>
      </c>
      <c r="AH430">
        <v>6</v>
      </c>
      <c r="AI430">
        <v>8</v>
      </c>
      <c r="AJ430">
        <v>0</v>
      </c>
      <c r="AK430">
        <v>9</v>
      </c>
      <c r="AL430" t="s">
        <v>169</v>
      </c>
      <c r="AM430" t="s">
        <v>170</v>
      </c>
      <c r="AN430" t="s">
        <v>171</v>
      </c>
      <c r="AO430" t="s">
        <v>6437</v>
      </c>
      <c r="AP430" t="s">
        <v>74</v>
      </c>
      <c r="AQ430" t="s">
        <v>74</v>
      </c>
      <c r="AR430" t="s">
        <v>6438</v>
      </c>
      <c r="AS430" t="s">
        <v>6439</v>
      </c>
      <c r="AT430" t="s">
        <v>6397</v>
      </c>
      <c r="AU430">
        <v>2003</v>
      </c>
      <c r="AV430">
        <v>27</v>
      </c>
      <c r="AW430" t="s">
        <v>6398</v>
      </c>
      <c r="AX430" t="s">
        <v>74</v>
      </c>
      <c r="AY430" t="s">
        <v>74</v>
      </c>
      <c r="AZ430" t="s">
        <v>74</v>
      </c>
      <c r="BA430" t="s">
        <v>74</v>
      </c>
      <c r="BB430">
        <v>629</v>
      </c>
      <c r="BC430">
        <v>637</v>
      </c>
      <c r="BD430" t="s">
        <v>74</v>
      </c>
      <c r="BE430" t="s">
        <v>6440</v>
      </c>
      <c r="BF430" t="str">
        <f>HYPERLINK("http://dx.doi.org/10.1016/S0145-305X(03)00029-6","http://dx.doi.org/10.1016/S0145-305X(03)00029-6")</f>
        <v>http://dx.doi.org/10.1016/S0145-305X(03)00029-6</v>
      </c>
      <c r="BG430" t="s">
        <v>74</v>
      </c>
      <c r="BH430" t="s">
        <v>74</v>
      </c>
      <c r="BI430">
        <v>9</v>
      </c>
      <c r="BJ430" t="s">
        <v>6441</v>
      </c>
      <c r="BK430" t="s">
        <v>94</v>
      </c>
      <c r="BL430" t="s">
        <v>6441</v>
      </c>
      <c r="BM430" t="s">
        <v>6442</v>
      </c>
      <c r="BN430">
        <v>12697319</v>
      </c>
      <c r="BO430" t="s">
        <v>74</v>
      </c>
      <c r="BP430" t="s">
        <v>74</v>
      </c>
      <c r="BQ430" t="s">
        <v>74</v>
      </c>
      <c r="BR430" t="s">
        <v>97</v>
      </c>
      <c r="BS430" t="s">
        <v>6443</v>
      </c>
      <c r="BT430" t="str">
        <f>HYPERLINK("https%3A%2F%2Fwww.webofscience.com%2Fwos%2Fwoscc%2Ffull-record%2FWOS:000182628700016","View Full Record in Web of Science")</f>
        <v>View Full Record in Web of Science</v>
      </c>
    </row>
    <row r="431" spans="1:72" x14ac:dyDescent="0.15">
      <c r="A431" t="s">
        <v>72</v>
      </c>
      <c r="B431" t="s">
        <v>3682</v>
      </c>
      <c r="C431" t="s">
        <v>74</v>
      </c>
      <c r="D431" t="s">
        <v>74</v>
      </c>
      <c r="E431" t="s">
        <v>74</v>
      </c>
      <c r="F431" t="s">
        <v>3682</v>
      </c>
      <c r="G431" t="s">
        <v>74</v>
      </c>
      <c r="H431" t="s">
        <v>74</v>
      </c>
      <c r="I431" t="s">
        <v>6444</v>
      </c>
      <c r="J431" t="s">
        <v>6445</v>
      </c>
      <c r="K431" t="s">
        <v>74</v>
      </c>
      <c r="L431" t="s">
        <v>74</v>
      </c>
      <c r="M431" t="s">
        <v>77</v>
      </c>
      <c r="N431" t="s">
        <v>78</v>
      </c>
      <c r="O431" t="s">
        <v>74</v>
      </c>
      <c r="P431" t="s">
        <v>74</v>
      </c>
      <c r="Q431" t="s">
        <v>74</v>
      </c>
      <c r="R431" t="s">
        <v>74</v>
      </c>
      <c r="S431" t="s">
        <v>74</v>
      </c>
      <c r="T431" t="s">
        <v>6446</v>
      </c>
      <c r="U431" t="s">
        <v>6447</v>
      </c>
      <c r="V431" t="s">
        <v>6448</v>
      </c>
      <c r="W431" t="s">
        <v>6449</v>
      </c>
      <c r="X431" t="s">
        <v>6450</v>
      </c>
      <c r="Y431" t="s">
        <v>6451</v>
      </c>
      <c r="Z431" t="s">
        <v>6452</v>
      </c>
      <c r="AA431" t="s">
        <v>74</v>
      </c>
      <c r="AB431" t="s">
        <v>74</v>
      </c>
      <c r="AC431" t="s">
        <v>74</v>
      </c>
      <c r="AD431" t="s">
        <v>74</v>
      </c>
      <c r="AE431" t="s">
        <v>74</v>
      </c>
      <c r="AF431" t="s">
        <v>74</v>
      </c>
      <c r="AG431">
        <v>38</v>
      </c>
      <c r="AH431">
        <v>51</v>
      </c>
      <c r="AI431">
        <v>57</v>
      </c>
      <c r="AJ431">
        <v>0</v>
      </c>
      <c r="AK431">
        <v>26</v>
      </c>
      <c r="AL431" t="s">
        <v>250</v>
      </c>
      <c r="AM431" t="s">
        <v>251</v>
      </c>
      <c r="AN431" t="s">
        <v>252</v>
      </c>
      <c r="AO431" t="s">
        <v>6453</v>
      </c>
      <c r="AP431" t="s">
        <v>6454</v>
      </c>
      <c r="AQ431" t="s">
        <v>74</v>
      </c>
      <c r="AR431" t="s">
        <v>6445</v>
      </c>
      <c r="AS431" t="s">
        <v>3535</v>
      </c>
      <c r="AT431" t="s">
        <v>6124</v>
      </c>
      <c r="AU431">
        <v>2003</v>
      </c>
      <c r="AV431">
        <v>84</v>
      </c>
      <c r="AW431">
        <v>6</v>
      </c>
      <c r="AX431" t="s">
        <v>74</v>
      </c>
      <c r="AY431" t="s">
        <v>74</v>
      </c>
      <c r="AZ431" t="s">
        <v>74</v>
      </c>
      <c r="BA431" t="s">
        <v>74</v>
      </c>
      <c r="BB431">
        <v>1598</v>
      </c>
      <c r="BC431">
        <v>1607</v>
      </c>
      <c r="BD431" t="s">
        <v>74</v>
      </c>
      <c r="BE431" t="s">
        <v>6455</v>
      </c>
      <c r="BF431" t="str">
        <f>HYPERLINK("http://dx.doi.org/10.1890/0012-9658(2003)084[1598:EGISAT]2.0.CO;2","http://dx.doi.org/10.1890/0012-9658(2003)084[1598:EGISAT]2.0.CO;2")</f>
        <v>http://dx.doi.org/10.1890/0012-9658(2003)084[1598:EGISAT]2.0.CO;2</v>
      </c>
      <c r="BG431" t="s">
        <v>74</v>
      </c>
      <c r="BH431" t="s">
        <v>74</v>
      </c>
      <c r="BI431">
        <v>10</v>
      </c>
      <c r="BJ431" t="s">
        <v>3535</v>
      </c>
      <c r="BK431" t="s">
        <v>94</v>
      </c>
      <c r="BL431" t="s">
        <v>2512</v>
      </c>
      <c r="BM431" t="s">
        <v>6456</v>
      </c>
      <c r="BN431" t="s">
        <v>74</v>
      </c>
      <c r="BO431" t="s">
        <v>1767</v>
      </c>
      <c r="BP431" t="s">
        <v>74</v>
      </c>
      <c r="BQ431" t="s">
        <v>74</v>
      </c>
      <c r="BR431" t="s">
        <v>97</v>
      </c>
      <c r="BS431" t="s">
        <v>6457</v>
      </c>
      <c r="BT431" t="str">
        <f>HYPERLINK("https%3A%2F%2Fwww.webofscience.com%2Fwos%2Fwoscc%2Ffull-record%2FWOS:000184451900028","View Full Record in Web of Science")</f>
        <v>View Full Record in Web of Science</v>
      </c>
    </row>
    <row r="432" spans="1:72" x14ac:dyDescent="0.15">
      <c r="A432" t="s">
        <v>72</v>
      </c>
      <c r="B432" t="s">
        <v>6458</v>
      </c>
      <c r="C432" t="s">
        <v>74</v>
      </c>
      <c r="D432" t="s">
        <v>74</v>
      </c>
      <c r="E432" t="s">
        <v>74</v>
      </c>
      <c r="F432" t="s">
        <v>6458</v>
      </c>
      <c r="G432" t="s">
        <v>74</v>
      </c>
      <c r="H432" t="s">
        <v>74</v>
      </c>
      <c r="I432" t="s">
        <v>6459</v>
      </c>
      <c r="J432" t="s">
        <v>6460</v>
      </c>
      <c r="K432" t="s">
        <v>74</v>
      </c>
      <c r="L432" t="s">
        <v>74</v>
      </c>
      <c r="M432" t="s">
        <v>77</v>
      </c>
      <c r="N432" t="s">
        <v>78</v>
      </c>
      <c r="O432" t="s">
        <v>74</v>
      </c>
      <c r="P432" t="s">
        <v>74</v>
      </c>
      <c r="Q432" t="s">
        <v>74</v>
      </c>
      <c r="R432" t="s">
        <v>74</v>
      </c>
      <c r="S432" t="s">
        <v>74</v>
      </c>
      <c r="T432" t="s">
        <v>6461</v>
      </c>
      <c r="U432" t="s">
        <v>6462</v>
      </c>
      <c r="V432" t="s">
        <v>6463</v>
      </c>
      <c r="W432" t="s">
        <v>6464</v>
      </c>
      <c r="X432" t="s">
        <v>6465</v>
      </c>
      <c r="Y432" t="s">
        <v>6466</v>
      </c>
      <c r="Z432" t="s">
        <v>74</v>
      </c>
      <c r="AA432" t="s">
        <v>74</v>
      </c>
      <c r="AB432" t="s">
        <v>74</v>
      </c>
      <c r="AC432" t="s">
        <v>74</v>
      </c>
      <c r="AD432" t="s">
        <v>74</v>
      </c>
      <c r="AE432" t="s">
        <v>74</v>
      </c>
      <c r="AF432" t="s">
        <v>74</v>
      </c>
      <c r="AG432">
        <v>27</v>
      </c>
      <c r="AH432">
        <v>188</v>
      </c>
      <c r="AI432">
        <v>215</v>
      </c>
      <c r="AJ432">
        <v>4</v>
      </c>
      <c r="AK432">
        <v>65</v>
      </c>
      <c r="AL432" t="s">
        <v>6467</v>
      </c>
      <c r="AM432" t="s">
        <v>520</v>
      </c>
      <c r="AN432" t="s">
        <v>6468</v>
      </c>
      <c r="AO432" t="s">
        <v>6469</v>
      </c>
      <c r="AP432" t="s">
        <v>74</v>
      </c>
      <c r="AQ432" t="s">
        <v>74</v>
      </c>
      <c r="AR432" t="s">
        <v>6460</v>
      </c>
      <c r="AS432" t="s">
        <v>6470</v>
      </c>
      <c r="AT432" t="s">
        <v>6124</v>
      </c>
      <c r="AU432">
        <v>2003</v>
      </c>
      <c r="AV432">
        <v>7</v>
      </c>
      <c r="AW432">
        <v>3</v>
      </c>
      <c r="AX432" t="s">
        <v>74</v>
      </c>
      <c r="AY432" t="s">
        <v>74</v>
      </c>
      <c r="AZ432" t="s">
        <v>74</v>
      </c>
      <c r="BA432" t="s">
        <v>74</v>
      </c>
      <c r="BB432">
        <v>177</v>
      </c>
      <c r="BC432">
        <v>183</v>
      </c>
      <c r="BD432" t="s">
        <v>74</v>
      </c>
      <c r="BE432" t="s">
        <v>6471</v>
      </c>
      <c r="BF432" t="str">
        <f>HYPERLINK("http://dx.doi.org/10.1007/s00792-002-0309-0","http://dx.doi.org/10.1007/s00792-002-0309-0")</f>
        <v>http://dx.doi.org/10.1007/s00792-002-0309-0</v>
      </c>
      <c r="BG432" t="s">
        <v>74</v>
      </c>
      <c r="BH432" t="s">
        <v>74</v>
      </c>
      <c r="BI432">
        <v>7</v>
      </c>
      <c r="BJ432" t="s">
        <v>6472</v>
      </c>
      <c r="BK432" t="s">
        <v>94</v>
      </c>
      <c r="BL432" t="s">
        <v>6472</v>
      </c>
      <c r="BM432" t="s">
        <v>6473</v>
      </c>
      <c r="BN432">
        <v>12768448</v>
      </c>
      <c r="BO432" t="s">
        <v>74</v>
      </c>
      <c r="BP432" t="s">
        <v>74</v>
      </c>
      <c r="BQ432" t="s">
        <v>74</v>
      </c>
      <c r="BR432" t="s">
        <v>97</v>
      </c>
      <c r="BS432" t="s">
        <v>6474</v>
      </c>
      <c r="BT432" t="str">
        <f>HYPERLINK("https%3A%2F%2Fwww.webofscience.com%2Fwos%2Fwoscc%2Ffull-record%2FWOS:000183800200002","View Full Record in Web of Science")</f>
        <v>View Full Record in Web of Science</v>
      </c>
    </row>
    <row r="433" spans="1:72" x14ac:dyDescent="0.15">
      <c r="A433" t="s">
        <v>72</v>
      </c>
      <c r="B433" t="s">
        <v>6475</v>
      </c>
      <c r="C433" t="s">
        <v>74</v>
      </c>
      <c r="D433" t="s">
        <v>74</v>
      </c>
      <c r="E433" t="s">
        <v>74</v>
      </c>
      <c r="F433" t="s">
        <v>6475</v>
      </c>
      <c r="G433" t="s">
        <v>74</v>
      </c>
      <c r="H433" t="s">
        <v>74</v>
      </c>
      <c r="I433" t="s">
        <v>6476</v>
      </c>
      <c r="J433" t="s">
        <v>3488</v>
      </c>
      <c r="K433" t="s">
        <v>74</v>
      </c>
      <c r="L433" t="s">
        <v>74</v>
      </c>
      <c r="M433" t="s">
        <v>77</v>
      </c>
      <c r="N433" t="s">
        <v>78</v>
      </c>
      <c r="O433" t="s">
        <v>74</v>
      </c>
      <c r="P433" t="s">
        <v>74</v>
      </c>
      <c r="Q433" t="s">
        <v>74</v>
      </c>
      <c r="R433" t="s">
        <v>74</v>
      </c>
      <c r="S433" t="s">
        <v>74</v>
      </c>
      <c r="T433" t="s">
        <v>6477</v>
      </c>
      <c r="U433" t="s">
        <v>74</v>
      </c>
      <c r="V433" t="s">
        <v>6478</v>
      </c>
      <c r="W433" t="s">
        <v>6479</v>
      </c>
      <c r="X433" t="s">
        <v>351</v>
      </c>
      <c r="Y433" t="s">
        <v>5008</v>
      </c>
      <c r="Z433" t="s">
        <v>6480</v>
      </c>
      <c r="AA433" t="s">
        <v>74</v>
      </c>
      <c r="AB433" t="s">
        <v>74</v>
      </c>
      <c r="AC433" t="s">
        <v>74</v>
      </c>
      <c r="AD433" t="s">
        <v>74</v>
      </c>
      <c r="AE433" t="s">
        <v>74</v>
      </c>
      <c r="AF433" t="s">
        <v>74</v>
      </c>
      <c r="AG433">
        <v>11</v>
      </c>
      <c r="AH433">
        <v>13</v>
      </c>
      <c r="AI433">
        <v>14</v>
      </c>
      <c r="AJ433">
        <v>0</v>
      </c>
      <c r="AK433">
        <v>3</v>
      </c>
      <c r="AL433" t="s">
        <v>110</v>
      </c>
      <c r="AM433" t="s">
        <v>111</v>
      </c>
      <c r="AN433" t="s">
        <v>112</v>
      </c>
      <c r="AO433" t="s">
        <v>3497</v>
      </c>
      <c r="AP433" t="s">
        <v>74</v>
      </c>
      <c r="AQ433" t="s">
        <v>74</v>
      </c>
      <c r="AR433" t="s">
        <v>3499</v>
      </c>
      <c r="AS433" t="s">
        <v>3500</v>
      </c>
      <c r="AT433" t="s">
        <v>6124</v>
      </c>
      <c r="AU433">
        <v>2003</v>
      </c>
      <c r="AV433">
        <v>62</v>
      </c>
      <c r="AW433">
        <v>3</v>
      </c>
      <c r="AX433" t="s">
        <v>74</v>
      </c>
      <c r="AY433" t="s">
        <v>74</v>
      </c>
      <c r="AZ433" t="s">
        <v>74</v>
      </c>
      <c r="BA433" t="s">
        <v>74</v>
      </c>
      <c r="BB433">
        <v>385</v>
      </c>
      <c r="BC433">
        <v>388</v>
      </c>
      <c r="BD433" t="s">
        <v>74</v>
      </c>
      <c r="BE433" t="s">
        <v>6481</v>
      </c>
      <c r="BF433" t="str">
        <f>HYPERLINK("http://dx.doi.org/10.1016/S0165-7836(02)00276-X","http://dx.doi.org/10.1016/S0165-7836(02)00276-X")</f>
        <v>http://dx.doi.org/10.1016/S0165-7836(02)00276-X</v>
      </c>
      <c r="BG433" t="s">
        <v>74</v>
      </c>
      <c r="BH433" t="s">
        <v>74</v>
      </c>
      <c r="BI433">
        <v>4</v>
      </c>
      <c r="BJ433" t="s">
        <v>3502</v>
      </c>
      <c r="BK433" t="s">
        <v>94</v>
      </c>
      <c r="BL433" t="s">
        <v>3502</v>
      </c>
      <c r="BM433" t="s">
        <v>6482</v>
      </c>
      <c r="BN433" t="s">
        <v>74</v>
      </c>
      <c r="BO433" t="s">
        <v>74</v>
      </c>
      <c r="BP433" t="s">
        <v>74</v>
      </c>
      <c r="BQ433" t="s">
        <v>74</v>
      </c>
      <c r="BR433" t="s">
        <v>97</v>
      </c>
      <c r="BS433" t="s">
        <v>6483</v>
      </c>
      <c r="BT433" t="str">
        <f>HYPERLINK("https%3A%2F%2Fwww.webofscience.com%2Fwos%2Fwoscc%2Ffull-record%2FWOS:000183234900011","View Full Record in Web of Science")</f>
        <v>View Full Record in Web of Science</v>
      </c>
    </row>
    <row r="434" spans="1:72" x14ac:dyDescent="0.15">
      <c r="A434" t="s">
        <v>72</v>
      </c>
      <c r="B434" t="s">
        <v>6484</v>
      </c>
      <c r="C434" t="s">
        <v>74</v>
      </c>
      <c r="D434" t="s">
        <v>74</v>
      </c>
      <c r="E434" t="s">
        <v>74</v>
      </c>
      <c r="F434" t="s">
        <v>6484</v>
      </c>
      <c r="G434" t="s">
        <v>74</v>
      </c>
      <c r="H434" t="s">
        <v>74</v>
      </c>
      <c r="I434" t="s">
        <v>6485</v>
      </c>
      <c r="J434" t="s">
        <v>1664</v>
      </c>
      <c r="K434" t="s">
        <v>74</v>
      </c>
      <c r="L434" t="s">
        <v>74</v>
      </c>
      <c r="M434" t="s">
        <v>77</v>
      </c>
      <c r="N434" t="s">
        <v>78</v>
      </c>
      <c r="O434" t="s">
        <v>74</v>
      </c>
      <c r="P434" t="s">
        <v>74</v>
      </c>
      <c r="Q434" t="s">
        <v>74</v>
      </c>
      <c r="R434" t="s">
        <v>74</v>
      </c>
      <c r="S434" t="s">
        <v>74</v>
      </c>
      <c r="T434" t="s">
        <v>74</v>
      </c>
      <c r="U434" t="s">
        <v>6486</v>
      </c>
      <c r="V434" t="s">
        <v>6487</v>
      </c>
      <c r="W434" t="s">
        <v>6488</v>
      </c>
      <c r="X434" t="s">
        <v>6489</v>
      </c>
      <c r="Y434" t="s">
        <v>6490</v>
      </c>
      <c r="Z434" t="s">
        <v>74</v>
      </c>
      <c r="AA434" t="s">
        <v>74</v>
      </c>
      <c r="AB434" t="s">
        <v>74</v>
      </c>
      <c r="AC434" t="s">
        <v>74</v>
      </c>
      <c r="AD434" t="s">
        <v>74</v>
      </c>
      <c r="AE434" t="s">
        <v>74</v>
      </c>
      <c r="AF434" t="s">
        <v>74</v>
      </c>
      <c r="AG434">
        <v>57</v>
      </c>
      <c r="AH434">
        <v>1</v>
      </c>
      <c r="AI434">
        <v>2</v>
      </c>
      <c r="AJ434">
        <v>0</v>
      </c>
      <c r="AK434">
        <v>3</v>
      </c>
      <c r="AL434" t="s">
        <v>169</v>
      </c>
      <c r="AM434" t="s">
        <v>170</v>
      </c>
      <c r="AN434" t="s">
        <v>171</v>
      </c>
      <c r="AO434" t="s">
        <v>1673</v>
      </c>
      <c r="AP434" t="s">
        <v>74</v>
      </c>
      <c r="AQ434" t="s">
        <v>74</v>
      </c>
      <c r="AR434" t="s">
        <v>1675</v>
      </c>
      <c r="AS434" t="s">
        <v>1676</v>
      </c>
      <c r="AT434" t="s">
        <v>6124</v>
      </c>
      <c r="AU434">
        <v>2003</v>
      </c>
      <c r="AV434">
        <v>67</v>
      </c>
      <c r="AW434">
        <v>12</v>
      </c>
      <c r="AX434" t="s">
        <v>74</v>
      </c>
      <c r="AY434" t="s">
        <v>74</v>
      </c>
      <c r="AZ434" t="s">
        <v>74</v>
      </c>
      <c r="BA434" t="s">
        <v>74</v>
      </c>
      <c r="BB434">
        <v>2201</v>
      </c>
      <c r="BC434">
        <v>2211</v>
      </c>
      <c r="BD434" t="s">
        <v>74</v>
      </c>
      <c r="BE434" t="s">
        <v>6491</v>
      </c>
      <c r="BF434" t="str">
        <f>HYPERLINK("http://dx.doi.org/10.1016/S0016-7037(02)01374-1","http://dx.doi.org/10.1016/S0016-7037(02)01374-1")</f>
        <v>http://dx.doi.org/10.1016/S0016-7037(02)01374-1</v>
      </c>
      <c r="BG434" t="s">
        <v>74</v>
      </c>
      <c r="BH434" t="s">
        <v>74</v>
      </c>
      <c r="BI434">
        <v>11</v>
      </c>
      <c r="BJ434" t="s">
        <v>176</v>
      </c>
      <c r="BK434" t="s">
        <v>94</v>
      </c>
      <c r="BL434" t="s">
        <v>176</v>
      </c>
      <c r="BM434" t="s">
        <v>6492</v>
      </c>
      <c r="BN434" t="s">
        <v>74</v>
      </c>
      <c r="BO434" t="s">
        <v>74</v>
      </c>
      <c r="BP434" t="s">
        <v>74</v>
      </c>
      <c r="BQ434" t="s">
        <v>74</v>
      </c>
      <c r="BR434" t="s">
        <v>97</v>
      </c>
      <c r="BS434" t="s">
        <v>6493</v>
      </c>
      <c r="BT434" t="str">
        <f>HYPERLINK("https%3A%2F%2Fwww.webofscience.com%2Fwos%2Fwoscc%2Ffull-record%2FWOS:000183608300008","View Full Record in Web of Science")</f>
        <v>View Full Record in Web of Science</v>
      </c>
    </row>
    <row r="435" spans="1:72" x14ac:dyDescent="0.15">
      <c r="A435" t="s">
        <v>72</v>
      </c>
      <c r="B435" t="s">
        <v>6494</v>
      </c>
      <c r="C435" t="s">
        <v>74</v>
      </c>
      <c r="D435" t="s">
        <v>74</v>
      </c>
      <c r="E435" t="s">
        <v>74</v>
      </c>
      <c r="F435" t="s">
        <v>6494</v>
      </c>
      <c r="G435" t="s">
        <v>74</v>
      </c>
      <c r="H435" t="s">
        <v>74</v>
      </c>
      <c r="I435" t="s">
        <v>6495</v>
      </c>
      <c r="J435" t="s">
        <v>6496</v>
      </c>
      <c r="K435" t="s">
        <v>74</v>
      </c>
      <c r="L435" t="s">
        <v>74</v>
      </c>
      <c r="M435" t="s">
        <v>77</v>
      </c>
      <c r="N435" t="s">
        <v>78</v>
      </c>
      <c r="O435" t="s">
        <v>74</v>
      </c>
      <c r="P435" t="s">
        <v>74</v>
      </c>
      <c r="Q435" t="s">
        <v>74</v>
      </c>
      <c r="R435" t="s">
        <v>74</v>
      </c>
      <c r="S435" t="s">
        <v>74</v>
      </c>
      <c r="T435" t="s">
        <v>6497</v>
      </c>
      <c r="U435" t="s">
        <v>6498</v>
      </c>
      <c r="V435" t="s">
        <v>6499</v>
      </c>
      <c r="W435" t="s">
        <v>6500</v>
      </c>
      <c r="X435" t="s">
        <v>6501</v>
      </c>
      <c r="Y435" t="s">
        <v>6502</v>
      </c>
      <c r="Z435" t="s">
        <v>6503</v>
      </c>
      <c r="AA435" t="s">
        <v>74</v>
      </c>
      <c r="AB435" t="s">
        <v>6504</v>
      </c>
      <c r="AC435" t="s">
        <v>74</v>
      </c>
      <c r="AD435" t="s">
        <v>74</v>
      </c>
      <c r="AE435" t="s">
        <v>74</v>
      </c>
      <c r="AF435" t="s">
        <v>74</v>
      </c>
      <c r="AG435">
        <v>31</v>
      </c>
      <c r="AH435">
        <v>8</v>
      </c>
      <c r="AI435">
        <v>10</v>
      </c>
      <c r="AJ435">
        <v>0</v>
      </c>
      <c r="AK435">
        <v>5</v>
      </c>
      <c r="AL435" t="s">
        <v>6505</v>
      </c>
      <c r="AM435" t="s">
        <v>6506</v>
      </c>
      <c r="AN435" t="s">
        <v>6507</v>
      </c>
      <c r="AO435" t="s">
        <v>6508</v>
      </c>
      <c r="AP435" t="s">
        <v>74</v>
      </c>
      <c r="AQ435" t="s">
        <v>74</v>
      </c>
      <c r="AR435" t="s">
        <v>6509</v>
      </c>
      <c r="AS435" t="s">
        <v>6510</v>
      </c>
      <c r="AT435" t="s">
        <v>6124</v>
      </c>
      <c r="AU435">
        <v>2003</v>
      </c>
      <c r="AV435">
        <v>7</v>
      </c>
      <c r="AW435">
        <v>2</v>
      </c>
      <c r="AX435" t="s">
        <v>74</v>
      </c>
      <c r="AY435" t="s">
        <v>74</v>
      </c>
      <c r="AZ435" t="s">
        <v>74</v>
      </c>
      <c r="BA435" t="s">
        <v>74</v>
      </c>
      <c r="BB435">
        <v>135</v>
      </c>
      <c r="BC435">
        <v>142</v>
      </c>
      <c r="BD435" t="s">
        <v>74</v>
      </c>
      <c r="BE435" t="s">
        <v>6511</v>
      </c>
      <c r="BF435" t="str">
        <f>HYPERLINK("http://dx.doi.org/10.1007/BF02910216","http://dx.doi.org/10.1007/BF02910216")</f>
        <v>http://dx.doi.org/10.1007/BF02910216</v>
      </c>
      <c r="BG435" t="s">
        <v>74</v>
      </c>
      <c r="BH435" t="s">
        <v>74</v>
      </c>
      <c r="BI435">
        <v>8</v>
      </c>
      <c r="BJ435" t="s">
        <v>548</v>
      </c>
      <c r="BK435" t="s">
        <v>94</v>
      </c>
      <c r="BL435" t="s">
        <v>549</v>
      </c>
      <c r="BM435" t="s">
        <v>6512</v>
      </c>
      <c r="BN435" t="s">
        <v>74</v>
      </c>
      <c r="BO435" t="s">
        <v>74</v>
      </c>
      <c r="BP435" t="s">
        <v>74</v>
      </c>
      <c r="BQ435" t="s">
        <v>74</v>
      </c>
      <c r="BR435" t="s">
        <v>97</v>
      </c>
      <c r="BS435" t="s">
        <v>6513</v>
      </c>
      <c r="BT435" t="str">
        <f>HYPERLINK("https%3A%2F%2Fwww.webofscience.com%2Fwos%2Fwoscc%2Ffull-record%2FWOS:000188433700006","View Full Record in Web of Science")</f>
        <v>View Full Record in Web of Science</v>
      </c>
    </row>
    <row r="436" spans="1:72" x14ac:dyDescent="0.15">
      <c r="A436" t="s">
        <v>72</v>
      </c>
      <c r="B436" t="s">
        <v>6514</v>
      </c>
      <c r="C436" t="s">
        <v>74</v>
      </c>
      <c r="D436" t="s">
        <v>74</v>
      </c>
      <c r="E436" t="s">
        <v>74</v>
      </c>
      <c r="F436" t="s">
        <v>6514</v>
      </c>
      <c r="G436" t="s">
        <v>74</v>
      </c>
      <c r="H436" t="s">
        <v>74</v>
      </c>
      <c r="I436" t="s">
        <v>6515</v>
      </c>
      <c r="J436" t="s">
        <v>3605</v>
      </c>
      <c r="K436" t="s">
        <v>74</v>
      </c>
      <c r="L436" t="s">
        <v>74</v>
      </c>
      <c r="M436" t="s">
        <v>77</v>
      </c>
      <c r="N436" t="s">
        <v>159</v>
      </c>
      <c r="O436" t="s">
        <v>4639</v>
      </c>
      <c r="P436" t="s">
        <v>4640</v>
      </c>
      <c r="Q436" t="s">
        <v>4641</v>
      </c>
      <c r="R436" t="s">
        <v>74</v>
      </c>
      <c r="S436" t="s">
        <v>74</v>
      </c>
      <c r="T436" t="s">
        <v>6516</v>
      </c>
      <c r="U436" t="s">
        <v>6517</v>
      </c>
      <c r="V436" t="s">
        <v>6518</v>
      </c>
      <c r="W436" t="s">
        <v>6519</v>
      </c>
      <c r="X436" t="s">
        <v>6520</v>
      </c>
      <c r="Y436" t="s">
        <v>6521</v>
      </c>
      <c r="Z436" t="s">
        <v>6522</v>
      </c>
      <c r="AA436" t="s">
        <v>6523</v>
      </c>
      <c r="AB436" t="s">
        <v>6524</v>
      </c>
      <c r="AC436" t="s">
        <v>74</v>
      </c>
      <c r="AD436" t="s">
        <v>74</v>
      </c>
      <c r="AE436" t="s">
        <v>74</v>
      </c>
      <c r="AF436" t="s">
        <v>74</v>
      </c>
      <c r="AG436">
        <v>27</v>
      </c>
      <c r="AH436">
        <v>12</v>
      </c>
      <c r="AI436">
        <v>12</v>
      </c>
      <c r="AJ436">
        <v>0</v>
      </c>
      <c r="AK436">
        <v>13</v>
      </c>
      <c r="AL436" t="s">
        <v>188</v>
      </c>
      <c r="AM436" t="s">
        <v>170</v>
      </c>
      <c r="AN436" t="s">
        <v>189</v>
      </c>
      <c r="AO436" t="s">
        <v>3613</v>
      </c>
      <c r="AP436" t="s">
        <v>6525</v>
      </c>
      <c r="AQ436" t="s">
        <v>74</v>
      </c>
      <c r="AR436" t="s">
        <v>3614</v>
      </c>
      <c r="AS436" t="s">
        <v>3615</v>
      </c>
      <c r="AT436" t="s">
        <v>6124</v>
      </c>
      <c r="AU436">
        <v>2003</v>
      </c>
      <c r="AV436">
        <v>60</v>
      </c>
      <c r="AW436">
        <v>3</v>
      </c>
      <c r="AX436" t="s">
        <v>74</v>
      </c>
      <c r="AY436" t="s">
        <v>74</v>
      </c>
      <c r="AZ436" t="s">
        <v>74</v>
      </c>
      <c r="BA436" t="s">
        <v>74</v>
      </c>
      <c r="BB436">
        <v>446</v>
      </c>
      <c r="BC436">
        <v>452</v>
      </c>
      <c r="BD436" t="s">
        <v>74</v>
      </c>
      <c r="BE436" t="s">
        <v>6526</v>
      </c>
      <c r="BF436" t="str">
        <f>HYPERLINK("http://dx.doi.org/10.1016/S1054-3139(03)00027-4","http://dx.doi.org/10.1016/S1054-3139(03)00027-4")</f>
        <v>http://dx.doi.org/10.1016/S1054-3139(03)00027-4</v>
      </c>
      <c r="BG436" t="s">
        <v>74</v>
      </c>
      <c r="BH436" t="s">
        <v>74</v>
      </c>
      <c r="BI436">
        <v>7</v>
      </c>
      <c r="BJ436" t="s">
        <v>3617</v>
      </c>
      <c r="BK436" t="s">
        <v>177</v>
      </c>
      <c r="BL436" t="s">
        <v>3617</v>
      </c>
      <c r="BM436" t="s">
        <v>6527</v>
      </c>
      <c r="BN436" t="s">
        <v>74</v>
      </c>
      <c r="BO436" t="s">
        <v>96</v>
      </c>
      <c r="BP436" t="s">
        <v>74</v>
      </c>
      <c r="BQ436" t="s">
        <v>74</v>
      </c>
      <c r="BR436" t="s">
        <v>97</v>
      </c>
      <c r="BS436" t="s">
        <v>6528</v>
      </c>
      <c r="BT436" t="str">
        <f>HYPERLINK("https%3A%2F%2Fwww.webofscience.com%2Fwos%2Fwoscc%2Ffull-record%2FWOS:000183766600003","View Full Record in Web of Science")</f>
        <v>View Full Record in Web of Science</v>
      </c>
    </row>
    <row r="437" spans="1:72" x14ac:dyDescent="0.15">
      <c r="A437" t="s">
        <v>72</v>
      </c>
      <c r="B437" t="s">
        <v>6529</v>
      </c>
      <c r="C437" t="s">
        <v>74</v>
      </c>
      <c r="D437" t="s">
        <v>74</v>
      </c>
      <c r="E437" t="s">
        <v>74</v>
      </c>
      <c r="F437" t="s">
        <v>6529</v>
      </c>
      <c r="G437" t="s">
        <v>74</v>
      </c>
      <c r="H437" t="s">
        <v>74</v>
      </c>
      <c r="I437" t="s">
        <v>6530</v>
      </c>
      <c r="J437" t="s">
        <v>3605</v>
      </c>
      <c r="K437" t="s">
        <v>74</v>
      </c>
      <c r="L437" t="s">
        <v>74</v>
      </c>
      <c r="M437" t="s">
        <v>77</v>
      </c>
      <c r="N437" t="s">
        <v>159</v>
      </c>
      <c r="O437" t="s">
        <v>4639</v>
      </c>
      <c r="P437" t="s">
        <v>4640</v>
      </c>
      <c r="Q437" t="s">
        <v>4641</v>
      </c>
      <c r="R437" t="s">
        <v>74</v>
      </c>
      <c r="S437" t="s">
        <v>74</v>
      </c>
      <c r="T437" t="s">
        <v>6531</v>
      </c>
      <c r="U437" t="s">
        <v>6532</v>
      </c>
      <c r="V437" t="s">
        <v>6533</v>
      </c>
      <c r="W437" t="s">
        <v>6534</v>
      </c>
      <c r="X437" t="s">
        <v>6535</v>
      </c>
      <c r="Y437" t="s">
        <v>6536</v>
      </c>
      <c r="Z437" t="s">
        <v>6537</v>
      </c>
      <c r="AA437" t="s">
        <v>74</v>
      </c>
      <c r="AB437" t="s">
        <v>74</v>
      </c>
      <c r="AC437" t="s">
        <v>74</v>
      </c>
      <c r="AD437" t="s">
        <v>74</v>
      </c>
      <c r="AE437" t="s">
        <v>74</v>
      </c>
      <c r="AF437" t="s">
        <v>74</v>
      </c>
      <c r="AG437">
        <v>14</v>
      </c>
      <c r="AH437">
        <v>25</v>
      </c>
      <c r="AI437">
        <v>32</v>
      </c>
      <c r="AJ437">
        <v>1</v>
      </c>
      <c r="AK437">
        <v>10</v>
      </c>
      <c r="AL437" t="s">
        <v>188</v>
      </c>
      <c r="AM437" t="s">
        <v>170</v>
      </c>
      <c r="AN437" t="s">
        <v>189</v>
      </c>
      <c r="AO437" t="s">
        <v>3613</v>
      </c>
      <c r="AP437" t="s">
        <v>6525</v>
      </c>
      <c r="AQ437" t="s">
        <v>74</v>
      </c>
      <c r="AR437" t="s">
        <v>3614</v>
      </c>
      <c r="AS437" t="s">
        <v>3615</v>
      </c>
      <c r="AT437" t="s">
        <v>6124</v>
      </c>
      <c r="AU437">
        <v>2003</v>
      </c>
      <c r="AV437">
        <v>60</v>
      </c>
      <c r="AW437">
        <v>3</v>
      </c>
      <c r="AX437" t="s">
        <v>74</v>
      </c>
      <c r="AY437" t="s">
        <v>74</v>
      </c>
      <c r="AZ437" t="s">
        <v>74</v>
      </c>
      <c r="BA437" t="s">
        <v>74</v>
      </c>
      <c r="BB437">
        <v>524</v>
      </c>
      <c r="BC437">
        <v>531</v>
      </c>
      <c r="BD437" t="s">
        <v>74</v>
      </c>
      <c r="BE437" t="s">
        <v>6538</v>
      </c>
      <c r="BF437" t="str">
        <f>HYPERLINK("http://dx.doi.org/10.1016/S1054-3139(03)00032-8","http://dx.doi.org/10.1016/S1054-3139(03)00032-8")</f>
        <v>http://dx.doi.org/10.1016/S1054-3139(03)00032-8</v>
      </c>
      <c r="BG437" t="s">
        <v>74</v>
      </c>
      <c r="BH437" t="s">
        <v>74</v>
      </c>
      <c r="BI437">
        <v>8</v>
      </c>
      <c r="BJ437" t="s">
        <v>3617</v>
      </c>
      <c r="BK437" t="s">
        <v>177</v>
      </c>
      <c r="BL437" t="s">
        <v>3617</v>
      </c>
      <c r="BM437" t="s">
        <v>6527</v>
      </c>
      <c r="BN437" t="s">
        <v>74</v>
      </c>
      <c r="BO437" t="s">
        <v>96</v>
      </c>
      <c r="BP437" t="s">
        <v>74</v>
      </c>
      <c r="BQ437" t="s">
        <v>74</v>
      </c>
      <c r="BR437" t="s">
        <v>97</v>
      </c>
      <c r="BS437" t="s">
        <v>6539</v>
      </c>
      <c r="BT437" t="str">
        <f>HYPERLINK("https%3A%2F%2Fwww.webofscience.com%2Fwos%2Fwoscc%2Ffull-record%2FWOS:000183766600013","View Full Record in Web of Science")</f>
        <v>View Full Record in Web of Science</v>
      </c>
    </row>
    <row r="438" spans="1:72" x14ac:dyDescent="0.15">
      <c r="A438" t="s">
        <v>72</v>
      </c>
      <c r="B438" t="s">
        <v>6540</v>
      </c>
      <c r="C438" t="s">
        <v>74</v>
      </c>
      <c r="D438" t="s">
        <v>74</v>
      </c>
      <c r="E438" t="s">
        <v>74</v>
      </c>
      <c r="F438" t="s">
        <v>6540</v>
      </c>
      <c r="G438" t="s">
        <v>74</v>
      </c>
      <c r="H438" t="s">
        <v>74</v>
      </c>
      <c r="I438" t="s">
        <v>6541</v>
      </c>
      <c r="J438" t="s">
        <v>3605</v>
      </c>
      <c r="K438" t="s">
        <v>74</v>
      </c>
      <c r="L438" t="s">
        <v>74</v>
      </c>
      <c r="M438" t="s">
        <v>77</v>
      </c>
      <c r="N438" t="s">
        <v>159</v>
      </c>
      <c r="O438" t="s">
        <v>4639</v>
      </c>
      <c r="P438" t="s">
        <v>4640</v>
      </c>
      <c r="Q438" t="s">
        <v>4641</v>
      </c>
      <c r="R438" t="s">
        <v>74</v>
      </c>
      <c r="S438" t="s">
        <v>74</v>
      </c>
      <c r="T438" t="s">
        <v>6542</v>
      </c>
      <c r="U438" t="s">
        <v>6543</v>
      </c>
      <c r="V438" t="s">
        <v>6544</v>
      </c>
      <c r="W438" t="s">
        <v>6545</v>
      </c>
      <c r="X438" t="s">
        <v>4646</v>
      </c>
      <c r="Y438" t="s">
        <v>6546</v>
      </c>
      <c r="Z438" t="s">
        <v>74</v>
      </c>
      <c r="AA438" t="s">
        <v>4648</v>
      </c>
      <c r="AB438" t="s">
        <v>4649</v>
      </c>
      <c r="AC438" t="s">
        <v>74</v>
      </c>
      <c r="AD438" t="s">
        <v>74</v>
      </c>
      <c r="AE438" t="s">
        <v>74</v>
      </c>
      <c r="AF438" t="s">
        <v>74</v>
      </c>
      <c r="AG438">
        <v>28</v>
      </c>
      <c r="AH438">
        <v>51</v>
      </c>
      <c r="AI438">
        <v>60</v>
      </c>
      <c r="AJ438">
        <v>1</v>
      </c>
      <c r="AK438">
        <v>8</v>
      </c>
      <c r="AL438" t="s">
        <v>3611</v>
      </c>
      <c r="AM438" t="s">
        <v>964</v>
      </c>
      <c r="AN438" t="s">
        <v>3612</v>
      </c>
      <c r="AO438" t="s">
        <v>3613</v>
      </c>
      <c r="AP438" t="s">
        <v>74</v>
      </c>
      <c r="AQ438" t="s">
        <v>74</v>
      </c>
      <c r="AR438" t="s">
        <v>3614</v>
      </c>
      <c r="AS438" t="s">
        <v>3615</v>
      </c>
      <c r="AT438" t="s">
        <v>6124</v>
      </c>
      <c r="AU438">
        <v>2003</v>
      </c>
      <c r="AV438">
        <v>60</v>
      </c>
      <c r="AW438">
        <v>3</v>
      </c>
      <c r="AX438" t="s">
        <v>74</v>
      </c>
      <c r="AY438" t="s">
        <v>74</v>
      </c>
      <c r="AZ438" t="s">
        <v>74</v>
      </c>
      <c r="BA438" t="s">
        <v>74</v>
      </c>
      <c r="BB438">
        <v>625</v>
      </c>
      <c r="BC438">
        <v>635</v>
      </c>
      <c r="BD438" t="s">
        <v>74</v>
      </c>
      <c r="BE438" t="s">
        <v>6547</v>
      </c>
      <c r="BF438" t="str">
        <f>HYPERLINK("http://dx.doi.org/10.1016/S1054-3139(03)00063-8","http://dx.doi.org/10.1016/S1054-3139(03)00063-8")</f>
        <v>http://dx.doi.org/10.1016/S1054-3139(03)00063-8</v>
      </c>
      <c r="BG438" t="s">
        <v>74</v>
      </c>
      <c r="BH438" t="s">
        <v>74</v>
      </c>
      <c r="BI438">
        <v>11</v>
      </c>
      <c r="BJ438" t="s">
        <v>3617</v>
      </c>
      <c r="BK438" t="s">
        <v>854</v>
      </c>
      <c r="BL438" t="s">
        <v>3617</v>
      </c>
      <c r="BM438" t="s">
        <v>6527</v>
      </c>
      <c r="BN438" t="s">
        <v>74</v>
      </c>
      <c r="BO438" t="s">
        <v>96</v>
      </c>
      <c r="BP438" t="s">
        <v>74</v>
      </c>
      <c r="BQ438" t="s">
        <v>74</v>
      </c>
      <c r="BR438" t="s">
        <v>97</v>
      </c>
      <c r="BS438" t="s">
        <v>6548</v>
      </c>
      <c r="BT438" t="str">
        <f>HYPERLINK("https%3A%2F%2Fwww.webofscience.com%2Fwos%2Fwoscc%2Ffull-record%2FWOS:000183766600027","View Full Record in Web of Science")</f>
        <v>View Full Record in Web of Science</v>
      </c>
    </row>
    <row r="439" spans="1:72" x14ac:dyDescent="0.15">
      <c r="A439" t="s">
        <v>72</v>
      </c>
      <c r="B439" t="s">
        <v>6549</v>
      </c>
      <c r="C439" t="s">
        <v>74</v>
      </c>
      <c r="D439" t="s">
        <v>74</v>
      </c>
      <c r="E439" t="s">
        <v>74</v>
      </c>
      <c r="F439" t="s">
        <v>6549</v>
      </c>
      <c r="G439" t="s">
        <v>74</v>
      </c>
      <c r="H439" t="s">
        <v>74</v>
      </c>
      <c r="I439" t="s">
        <v>6550</v>
      </c>
      <c r="J439" t="s">
        <v>3605</v>
      </c>
      <c r="K439" t="s">
        <v>74</v>
      </c>
      <c r="L439" t="s">
        <v>74</v>
      </c>
      <c r="M439" t="s">
        <v>77</v>
      </c>
      <c r="N439" t="s">
        <v>159</v>
      </c>
      <c r="O439" t="s">
        <v>4639</v>
      </c>
      <c r="P439" t="s">
        <v>4640</v>
      </c>
      <c r="Q439" t="s">
        <v>4641</v>
      </c>
      <c r="R439" t="s">
        <v>74</v>
      </c>
      <c r="S439" t="s">
        <v>74</v>
      </c>
      <c r="T439" t="s">
        <v>6551</v>
      </c>
      <c r="U439" t="s">
        <v>6552</v>
      </c>
      <c r="V439" t="s">
        <v>6553</v>
      </c>
      <c r="W439" t="s">
        <v>6554</v>
      </c>
      <c r="X439" t="s">
        <v>6555</v>
      </c>
      <c r="Y439" t="s">
        <v>6556</v>
      </c>
      <c r="Z439" t="s">
        <v>74</v>
      </c>
      <c r="AA439" t="s">
        <v>6523</v>
      </c>
      <c r="AB439" t="s">
        <v>6524</v>
      </c>
      <c r="AC439" t="s">
        <v>74</v>
      </c>
      <c r="AD439" t="s">
        <v>74</v>
      </c>
      <c r="AE439" t="s">
        <v>74</v>
      </c>
      <c r="AF439" t="s">
        <v>74</v>
      </c>
      <c r="AG439">
        <v>36</v>
      </c>
      <c r="AH439">
        <v>32</v>
      </c>
      <c r="AI439">
        <v>37</v>
      </c>
      <c r="AJ439">
        <v>0</v>
      </c>
      <c r="AK439">
        <v>12</v>
      </c>
      <c r="AL439" t="s">
        <v>3611</v>
      </c>
      <c r="AM439" t="s">
        <v>964</v>
      </c>
      <c r="AN439" t="s">
        <v>3612</v>
      </c>
      <c r="AO439" t="s">
        <v>3613</v>
      </c>
      <c r="AP439" t="s">
        <v>74</v>
      </c>
      <c r="AQ439" t="s">
        <v>74</v>
      </c>
      <c r="AR439" t="s">
        <v>3614</v>
      </c>
      <c r="AS439" t="s">
        <v>3615</v>
      </c>
      <c r="AT439" t="s">
        <v>6124</v>
      </c>
      <c r="AU439">
        <v>2003</v>
      </c>
      <c r="AV439">
        <v>60</v>
      </c>
      <c r="AW439">
        <v>3</v>
      </c>
      <c r="AX439" t="s">
        <v>74</v>
      </c>
      <c r="AY439" t="s">
        <v>74</v>
      </c>
      <c r="AZ439" t="s">
        <v>74</v>
      </c>
      <c r="BA439" t="s">
        <v>74</v>
      </c>
      <c r="BB439">
        <v>641</v>
      </c>
      <c r="BC439">
        <v>649</v>
      </c>
      <c r="BD439" t="s">
        <v>74</v>
      </c>
      <c r="BE439" t="s">
        <v>6557</v>
      </c>
      <c r="BF439" t="str">
        <f>HYPERLINK("http://dx.doi.org/10.1016/S1054-3139(03)00062-6","http://dx.doi.org/10.1016/S1054-3139(03)00062-6")</f>
        <v>http://dx.doi.org/10.1016/S1054-3139(03)00062-6</v>
      </c>
      <c r="BG439" t="s">
        <v>74</v>
      </c>
      <c r="BH439" t="s">
        <v>74</v>
      </c>
      <c r="BI439">
        <v>9</v>
      </c>
      <c r="BJ439" t="s">
        <v>3617</v>
      </c>
      <c r="BK439" t="s">
        <v>854</v>
      </c>
      <c r="BL439" t="s">
        <v>3617</v>
      </c>
      <c r="BM439" t="s">
        <v>6527</v>
      </c>
      <c r="BN439" t="s">
        <v>74</v>
      </c>
      <c r="BO439" t="s">
        <v>2139</v>
      </c>
      <c r="BP439" t="s">
        <v>74</v>
      </c>
      <c r="BQ439" t="s">
        <v>74</v>
      </c>
      <c r="BR439" t="s">
        <v>97</v>
      </c>
      <c r="BS439" t="s">
        <v>6558</v>
      </c>
      <c r="BT439" t="str">
        <f>HYPERLINK("https%3A%2F%2Fwww.webofscience.com%2Fwos%2Fwoscc%2Ffull-record%2FWOS:000183766600029","View Full Record in Web of Science")</f>
        <v>View Full Record in Web of Science</v>
      </c>
    </row>
    <row r="440" spans="1:72" x14ac:dyDescent="0.15">
      <c r="A440" t="s">
        <v>72</v>
      </c>
      <c r="B440" t="s">
        <v>6559</v>
      </c>
      <c r="C440" t="s">
        <v>74</v>
      </c>
      <c r="D440" t="s">
        <v>74</v>
      </c>
      <c r="E440" t="s">
        <v>74</v>
      </c>
      <c r="F440" t="s">
        <v>6559</v>
      </c>
      <c r="G440" t="s">
        <v>74</v>
      </c>
      <c r="H440" t="s">
        <v>74</v>
      </c>
      <c r="I440" t="s">
        <v>6560</v>
      </c>
      <c r="J440" t="s">
        <v>3605</v>
      </c>
      <c r="K440" t="s">
        <v>74</v>
      </c>
      <c r="L440" t="s">
        <v>74</v>
      </c>
      <c r="M440" t="s">
        <v>77</v>
      </c>
      <c r="N440" t="s">
        <v>159</v>
      </c>
      <c r="O440" t="s">
        <v>4639</v>
      </c>
      <c r="P440" t="s">
        <v>4640</v>
      </c>
      <c r="Q440" t="s">
        <v>4641</v>
      </c>
      <c r="R440" t="s">
        <v>74</v>
      </c>
      <c r="S440" t="s">
        <v>74</v>
      </c>
      <c r="T440" t="s">
        <v>6561</v>
      </c>
      <c r="U440" t="s">
        <v>6562</v>
      </c>
      <c r="V440" t="s">
        <v>6563</v>
      </c>
      <c r="W440" t="s">
        <v>6564</v>
      </c>
      <c r="X440" t="s">
        <v>6565</v>
      </c>
      <c r="Y440" t="s">
        <v>6566</v>
      </c>
      <c r="Z440" t="s">
        <v>6567</v>
      </c>
      <c r="AA440" t="s">
        <v>6568</v>
      </c>
      <c r="AB440" t="s">
        <v>6569</v>
      </c>
      <c r="AC440" t="s">
        <v>74</v>
      </c>
      <c r="AD440" t="s">
        <v>74</v>
      </c>
      <c r="AE440" t="s">
        <v>74</v>
      </c>
      <c r="AF440" t="s">
        <v>74</v>
      </c>
      <c r="AG440">
        <v>59</v>
      </c>
      <c r="AH440">
        <v>60</v>
      </c>
      <c r="AI440">
        <v>67</v>
      </c>
      <c r="AJ440">
        <v>2</v>
      </c>
      <c r="AK440">
        <v>24</v>
      </c>
      <c r="AL440" t="s">
        <v>188</v>
      </c>
      <c r="AM440" t="s">
        <v>170</v>
      </c>
      <c r="AN440" t="s">
        <v>189</v>
      </c>
      <c r="AO440" t="s">
        <v>3613</v>
      </c>
      <c r="AP440" t="s">
        <v>6525</v>
      </c>
      <c r="AQ440" t="s">
        <v>74</v>
      </c>
      <c r="AR440" t="s">
        <v>3614</v>
      </c>
      <c r="AS440" t="s">
        <v>3615</v>
      </c>
      <c r="AT440" t="s">
        <v>6124</v>
      </c>
      <c r="AU440">
        <v>2003</v>
      </c>
      <c r="AV440">
        <v>60</v>
      </c>
      <c r="AW440">
        <v>3</v>
      </c>
      <c r="AX440" t="s">
        <v>74</v>
      </c>
      <c r="AY440" t="s">
        <v>74</v>
      </c>
      <c r="AZ440" t="s">
        <v>74</v>
      </c>
      <c r="BA440" t="s">
        <v>74</v>
      </c>
      <c r="BB440">
        <v>684</v>
      </c>
      <c r="BC440">
        <v>691</v>
      </c>
      <c r="BD440" t="s">
        <v>74</v>
      </c>
      <c r="BE440" t="s">
        <v>6570</v>
      </c>
      <c r="BF440" t="str">
        <f>HYPERLINK("http://dx.doi.org/10.1016/S1054-3139(03)00038-9","http://dx.doi.org/10.1016/S1054-3139(03)00038-9")</f>
        <v>http://dx.doi.org/10.1016/S1054-3139(03)00038-9</v>
      </c>
      <c r="BG440" t="s">
        <v>74</v>
      </c>
      <c r="BH440" t="s">
        <v>74</v>
      </c>
      <c r="BI440">
        <v>8</v>
      </c>
      <c r="BJ440" t="s">
        <v>3617</v>
      </c>
      <c r="BK440" t="s">
        <v>177</v>
      </c>
      <c r="BL440" t="s">
        <v>3617</v>
      </c>
      <c r="BM440" t="s">
        <v>6527</v>
      </c>
      <c r="BN440" t="s">
        <v>74</v>
      </c>
      <c r="BO440" t="s">
        <v>96</v>
      </c>
      <c r="BP440" t="s">
        <v>74</v>
      </c>
      <c r="BQ440" t="s">
        <v>74</v>
      </c>
      <c r="BR440" t="s">
        <v>97</v>
      </c>
      <c r="BS440" t="s">
        <v>6571</v>
      </c>
      <c r="BT440" t="str">
        <f>HYPERLINK("https%3A%2F%2Fwww.webofscience.com%2Fwos%2Fwoscc%2Ffull-record%2FWOS:000183766600035","View Full Record in Web of Science")</f>
        <v>View Full Record in Web of Science</v>
      </c>
    </row>
    <row r="441" spans="1:72" x14ac:dyDescent="0.15">
      <c r="A441" t="s">
        <v>72</v>
      </c>
      <c r="B441" t="s">
        <v>6572</v>
      </c>
      <c r="C441" t="s">
        <v>74</v>
      </c>
      <c r="D441" t="s">
        <v>74</v>
      </c>
      <c r="E441" t="s">
        <v>74</v>
      </c>
      <c r="F441" t="s">
        <v>6572</v>
      </c>
      <c r="G441" t="s">
        <v>74</v>
      </c>
      <c r="H441" t="s">
        <v>74</v>
      </c>
      <c r="I441" t="s">
        <v>6573</v>
      </c>
      <c r="J441" t="s">
        <v>6574</v>
      </c>
      <c r="K441" t="s">
        <v>74</v>
      </c>
      <c r="L441" t="s">
        <v>74</v>
      </c>
      <c r="M441" t="s">
        <v>77</v>
      </c>
      <c r="N441" t="s">
        <v>773</v>
      </c>
      <c r="O441" t="s">
        <v>74</v>
      </c>
      <c r="P441" t="s">
        <v>74</v>
      </c>
      <c r="Q441" t="s">
        <v>74</v>
      </c>
      <c r="R441" t="s">
        <v>74</v>
      </c>
      <c r="S441" t="s">
        <v>74</v>
      </c>
      <c r="T441" t="s">
        <v>74</v>
      </c>
      <c r="U441" t="s">
        <v>74</v>
      </c>
      <c r="V441" t="s">
        <v>74</v>
      </c>
      <c r="W441" t="s">
        <v>5463</v>
      </c>
      <c r="X441" t="s">
        <v>706</v>
      </c>
      <c r="Y441" t="s">
        <v>6575</v>
      </c>
      <c r="Z441" t="s">
        <v>74</v>
      </c>
      <c r="AA441" t="s">
        <v>74</v>
      </c>
      <c r="AB441" t="s">
        <v>74</v>
      </c>
      <c r="AC441" t="s">
        <v>6576</v>
      </c>
      <c r="AD441" t="s">
        <v>6577</v>
      </c>
      <c r="AE441" t="s">
        <v>74</v>
      </c>
      <c r="AF441" t="s">
        <v>74</v>
      </c>
      <c r="AG441">
        <v>3</v>
      </c>
      <c r="AH441">
        <v>1</v>
      </c>
      <c r="AI441">
        <v>1</v>
      </c>
      <c r="AJ441">
        <v>0</v>
      </c>
      <c r="AK441">
        <v>1</v>
      </c>
      <c r="AL441" t="s">
        <v>6578</v>
      </c>
      <c r="AM441" t="s">
        <v>6579</v>
      </c>
      <c r="AN441" t="s">
        <v>6580</v>
      </c>
      <c r="AO441" t="s">
        <v>6581</v>
      </c>
      <c r="AP441" t="s">
        <v>74</v>
      </c>
      <c r="AQ441" t="s">
        <v>74</v>
      </c>
      <c r="AR441" t="s">
        <v>6582</v>
      </c>
      <c r="AS441" t="s">
        <v>6583</v>
      </c>
      <c r="AT441" t="s">
        <v>6124</v>
      </c>
      <c r="AU441">
        <v>2003</v>
      </c>
      <c r="AV441">
        <v>28</v>
      </c>
      <c r="AW441">
        <v>2</v>
      </c>
      <c r="AX441" t="s">
        <v>74</v>
      </c>
      <c r="AY441" t="s">
        <v>74</v>
      </c>
      <c r="AZ441" t="s">
        <v>74</v>
      </c>
      <c r="BA441" t="s">
        <v>74</v>
      </c>
      <c r="BB441">
        <v>74</v>
      </c>
      <c r="BC441">
        <v>75</v>
      </c>
      <c r="BD441" t="s">
        <v>74</v>
      </c>
      <c r="BE441" t="s">
        <v>6584</v>
      </c>
      <c r="BF441" t="str">
        <f>HYPERLINK("http://dx.doi.org/10.1179/030801803225005094","http://dx.doi.org/10.1179/030801803225005094")</f>
        <v>http://dx.doi.org/10.1179/030801803225005094</v>
      </c>
      <c r="BG441" t="s">
        <v>74</v>
      </c>
      <c r="BH441" t="s">
        <v>74</v>
      </c>
      <c r="BI441">
        <v>2</v>
      </c>
      <c r="BJ441" t="s">
        <v>6585</v>
      </c>
      <c r="BK441" t="s">
        <v>4544</v>
      </c>
      <c r="BL441" t="s">
        <v>6586</v>
      </c>
      <c r="BM441" t="s">
        <v>6587</v>
      </c>
      <c r="BN441" t="s">
        <v>74</v>
      </c>
      <c r="BO441" t="s">
        <v>74</v>
      </c>
      <c r="BP441" t="s">
        <v>74</v>
      </c>
      <c r="BQ441" t="s">
        <v>74</v>
      </c>
      <c r="BR441" t="s">
        <v>97</v>
      </c>
      <c r="BS441" t="s">
        <v>6588</v>
      </c>
      <c r="BT441" t="str">
        <f>HYPERLINK("https%3A%2F%2Fwww.webofscience.com%2Fwos%2Fwoscc%2Ffull-record%2FWOS:000184444000002","View Full Record in Web of Science")</f>
        <v>View Full Record in Web of Science</v>
      </c>
    </row>
    <row r="442" spans="1:72" x14ac:dyDescent="0.15">
      <c r="A442" t="s">
        <v>72</v>
      </c>
      <c r="B442" t="s">
        <v>6589</v>
      </c>
      <c r="C442" t="s">
        <v>74</v>
      </c>
      <c r="D442" t="s">
        <v>74</v>
      </c>
      <c r="E442" t="s">
        <v>74</v>
      </c>
      <c r="F442" t="s">
        <v>6589</v>
      </c>
      <c r="G442" t="s">
        <v>74</v>
      </c>
      <c r="H442" t="s">
        <v>74</v>
      </c>
      <c r="I442" t="s">
        <v>6590</v>
      </c>
      <c r="J442" t="s">
        <v>6591</v>
      </c>
      <c r="K442" t="s">
        <v>74</v>
      </c>
      <c r="L442" t="s">
        <v>74</v>
      </c>
      <c r="M442" t="s">
        <v>77</v>
      </c>
      <c r="N442" t="s">
        <v>78</v>
      </c>
      <c r="O442" t="s">
        <v>74</v>
      </c>
      <c r="P442" t="s">
        <v>74</v>
      </c>
      <c r="Q442" t="s">
        <v>74</v>
      </c>
      <c r="R442" t="s">
        <v>74</v>
      </c>
      <c r="S442" t="s">
        <v>74</v>
      </c>
      <c r="T442" t="s">
        <v>6592</v>
      </c>
      <c r="U442" t="s">
        <v>74</v>
      </c>
      <c r="V442" t="s">
        <v>6593</v>
      </c>
      <c r="W442" t="s">
        <v>6594</v>
      </c>
      <c r="X442" t="s">
        <v>6595</v>
      </c>
      <c r="Y442" t="s">
        <v>6596</v>
      </c>
      <c r="Z442" t="s">
        <v>74</v>
      </c>
      <c r="AA442" t="s">
        <v>6597</v>
      </c>
      <c r="AB442" t="s">
        <v>74</v>
      </c>
      <c r="AC442" t="s">
        <v>74</v>
      </c>
      <c r="AD442" t="s">
        <v>74</v>
      </c>
      <c r="AE442" t="s">
        <v>74</v>
      </c>
      <c r="AF442" t="s">
        <v>74</v>
      </c>
      <c r="AG442">
        <v>11</v>
      </c>
      <c r="AH442">
        <v>0</v>
      </c>
      <c r="AI442">
        <v>0</v>
      </c>
      <c r="AJ442">
        <v>0</v>
      </c>
      <c r="AK442">
        <v>3</v>
      </c>
      <c r="AL442" t="s">
        <v>6598</v>
      </c>
      <c r="AM442" t="s">
        <v>6599</v>
      </c>
      <c r="AN442" t="s">
        <v>6600</v>
      </c>
      <c r="AO442" t="s">
        <v>6601</v>
      </c>
      <c r="AP442" t="s">
        <v>74</v>
      </c>
      <c r="AQ442" t="s">
        <v>74</v>
      </c>
      <c r="AR442" t="s">
        <v>6602</v>
      </c>
      <c r="AS442" t="s">
        <v>6603</v>
      </c>
      <c r="AT442" t="s">
        <v>6124</v>
      </c>
      <c r="AU442">
        <v>2003</v>
      </c>
      <c r="AV442">
        <v>13</v>
      </c>
      <c r="AW442">
        <v>2</v>
      </c>
      <c r="AX442" t="s">
        <v>74</v>
      </c>
      <c r="AY442" t="s">
        <v>74</v>
      </c>
      <c r="AZ442" t="s">
        <v>74</v>
      </c>
      <c r="BA442" t="s">
        <v>74</v>
      </c>
      <c r="BB442">
        <v>128</v>
      </c>
      <c r="BC442">
        <v>132</v>
      </c>
      <c r="BD442" t="s">
        <v>74</v>
      </c>
      <c r="BE442" t="s">
        <v>74</v>
      </c>
      <c r="BF442" t="s">
        <v>74</v>
      </c>
      <c r="BG442" t="s">
        <v>74</v>
      </c>
      <c r="BH442" t="s">
        <v>74</v>
      </c>
      <c r="BI442">
        <v>5</v>
      </c>
      <c r="BJ442" t="s">
        <v>6604</v>
      </c>
      <c r="BK442" t="s">
        <v>94</v>
      </c>
      <c r="BL442" t="s">
        <v>505</v>
      </c>
      <c r="BM442" t="s">
        <v>6605</v>
      </c>
      <c r="BN442" t="s">
        <v>74</v>
      </c>
      <c r="BO442" t="s">
        <v>74</v>
      </c>
      <c r="BP442" t="s">
        <v>74</v>
      </c>
      <c r="BQ442" t="s">
        <v>74</v>
      </c>
      <c r="BR442" t="s">
        <v>97</v>
      </c>
      <c r="BS442" t="s">
        <v>6606</v>
      </c>
      <c r="BT442" t="str">
        <f>HYPERLINK("https%3A%2F%2Fwww.webofscience.com%2Fwos%2Fwoscc%2Ffull-record%2FWOS:000183451000008","View Full Record in Web of Science")</f>
        <v>View Full Record in Web of Science</v>
      </c>
    </row>
    <row r="443" spans="1:72" x14ac:dyDescent="0.15">
      <c r="A443" t="s">
        <v>72</v>
      </c>
      <c r="B443" t="s">
        <v>6607</v>
      </c>
      <c r="C443" t="s">
        <v>74</v>
      </c>
      <c r="D443" t="s">
        <v>74</v>
      </c>
      <c r="E443" t="s">
        <v>74</v>
      </c>
      <c r="F443" t="s">
        <v>6607</v>
      </c>
      <c r="G443" t="s">
        <v>74</v>
      </c>
      <c r="H443" t="s">
        <v>74</v>
      </c>
      <c r="I443" t="s">
        <v>6608</v>
      </c>
      <c r="J443" t="s">
        <v>6609</v>
      </c>
      <c r="K443" t="s">
        <v>74</v>
      </c>
      <c r="L443" t="s">
        <v>74</v>
      </c>
      <c r="M443" t="s">
        <v>77</v>
      </c>
      <c r="N443" t="s">
        <v>78</v>
      </c>
      <c r="O443" t="s">
        <v>74</v>
      </c>
      <c r="P443" t="s">
        <v>74</v>
      </c>
      <c r="Q443" t="s">
        <v>74</v>
      </c>
      <c r="R443" t="s">
        <v>74</v>
      </c>
      <c r="S443" t="s">
        <v>74</v>
      </c>
      <c r="T443" t="s">
        <v>6610</v>
      </c>
      <c r="U443" t="s">
        <v>6611</v>
      </c>
      <c r="V443" t="s">
        <v>6612</v>
      </c>
      <c r="W443" t="s">
        <v>6613</v>
      </c>
      <c r="X443" t="s">
        <v>6614</v>
      </c>
      <c r="Y443" t="s">
        <v>6615</v>
      </c>
      <c r="Z443" t="s">
        <v>74</v>
      </c>
      <c r="AA443" t="s">
        <v>6616</v>
      </c>
      <c r="AB443" t="s">
        <v>6617</v>
      </c>
      <c r="AC443" t="s">
        <v>74</v>
      </c>
      <c r="AD443" t="s">
        <v>74</v>
      </c>
      <c r="AE443" t="s">
        <v>74</v>
      </c>
      <c r="AF443" t="s">
        <v>74</v>
      </c>
      <c r="AG443">
        <v>46</v>
      </c>
      <c r="AH443">
        <v>28</v>
      </c>
      <c r="AI443">
        <v>30</v>
      </c>
      <c r="AJ443">
        <v>0</v>
      </c>
      <c r="AK443">
        <v>9</v>
      </c>
      <c r="AL443" t="s">
        <v>6618</v>
      </c>
      <c r="AM443" t="s">
        <v>229</v>
      </c>
      <c r="AN443" t="s">
        <v>6619</v>
      </c>
      <c r="AO443" t="s">
        <v>6620</v>
      </c>
      <c r="AP443" t="s">
        <v>6621</v>
      </c>
      <c r="AQ443" t="s">
        <v>74</v>
      </c>
      <c r="AR443" t="s">
        <v>6622</v>
      </c>
      <c r="AS443" t="s">
        <v>6623</v>
      </c>
      <c r="AT443" t="s">
        <v>6124</v>
      </c>
      <c r="AU443">
        <v>2003</v>
      </c>
      <c r="AV443">
        <v>111</v>
      </c>
      <c r="AW443">
        <v>6</v>
      </c>
      <c r="AX443" t="s">
        <v>74</v>
      </c>
      <c r="AY443" t="s">
        <v>74</v>
      </c>
      <c r="AZ443" t="s">
        <v>74</v>
      </c>
      <c r="BA443" t="s">
        <v>74</v>
      </c>
      <c r="BB443">
        <v>1353</v>
      </c>
      <c r="BC443">
        <v>1360</v>
      </c>
      <c r="BD443" t="s">
        <v>74</v>
      </c>
      <c r="BE443" t="s">
        <v>6624</v>
      </c>
      <c r="BF443" t="str">
        <f>HYPERLINK("http://dx.doi.org/10.1067/mai.2003.1504","http://dx.doi.org/10.1067/mai.2003.1504")</f>
        <v>http://dx.doi.org/10.1067/mai.2003.1504</v>
      </c>
      <c r="BG443" t="s">
        <v>74</v>
      </c>
      <c r="BH443" t="s">
        <v>74</v>
      </c>
      <c r="BI443">
        <v>8</v>
      </c>
      <c r="BJ443" t="s">
        <v>6625</v>
      </c>
      <c r="BK443" t="s">
        <v>94</v>
      </c>
      <c r="BL443" t="s">
        <v>6625</v>
      </c>
      <c r="BM443" t="s">
        <v>6626</v>
      </c>
      <c r="BN443">
        <v>12789239</v>
      </c>
      <c r="BO443" t="s">
        <v>96</v>
      </c>
      <c r="BP443" t="s">
        <v>74</v>
      </c>
      <c r="BQ443" t="s">
        <v>74</v>
      </c>
      <c r="BR443" t="s">
        <v>97</v>
      </c>
      <c r="BS443" t="s">
        <v>6627</v>
      </c>
      <c r="BT443" t="str">
        <f>HYPERLINK("https%3A%2F%2Fwww.webofscience.com%2Fwos%2Fwoscc%2Ffull-record%2FWOS:000183424700027","View Full Record in Web of Science")</f>
        <v>View Full Record in Web of Science</v>
      </c>
    </row>
    <row r="444" spans="1:72" x14ac:dyDescent="0.15">
      <c r="A444" t="s">
        <v>72</v>
      </c>
      <c r="B444" t="s">
        <v>6628</v>
      </c>
      <c r="C444" t="s">
        <v>74</v>
      </c>
      <c r="D444" t="s">
        <v>74</v>
      </c>
      <c r="E444" t="s">
        <v>74</v>
      </c>
      <c r="F444" t="s">
        <v>6628</v>
      </c>
      <c r="G444" t="s">
        <v>74</v>
      </c>
      <c r="H444" t="s">
        <v>74</v>
      </c>
      <c r="I444" t="s">
        <v>6629</v>
      </c>
      <c r="J444" t="s">
        <v>3714</v>
      </c>
      <c r="K444" t="s">
        <v>74</v>
      </c>
      <c r="L444" t="s">
        <v>74</v>
      </c>
      <c r="M444" t="s">
        <v>77</v>
      </c>
      <c r="N444" t="s">
        <v>78</v>
      </c>
      <c r="O444" t="s">
        <v>74</v>
      </c>
      <c r="P444" t="s">
        <v>74</v>
      </c>
      <c r="Q444" t="s">
        <v>74</v>
      </c>
      <c r="R444" t="s">
        <v>74</v>
      </c>
      <c r="S444" t="s">
        <v>74</v>
      </c>
      <c r="T444" t="s">
        <v>74</v>
      </c>
      <c r="U444" t="s">
        <v>6630</v>
      </c>
      <c r="V444" t="s">
        <v>6631</v>
      </c>
      <c r="W444" t="s">
        <v>6632</v>
      </c>
      <c r="X444" t="s">
        <v>6633</v>
      </c>
      <c r="Y444" t="s">
        <v>6634</v>
      </c>
      <c r="Z444" t="s">
        <v>6635</v>
      </c>
      <c r="AA444" t="s">
        <v>6636</v>
      </c>
      <c r="AB444" t="s">
        <v>6637</v>
      </c>
      <c r="AC444" t="s">
        <v>74</v>
      </c>
      <c r="AD444" t="s">
        <v>74</v>
      </c>
      <c r="AE444" t="s">
        <v>74</v>
      </c>
      <c r="AF444" t="s">
        <v>74</v>
      </c>
      <c r="AG444">
        <v>26</v>
      </c>
      <c r="AH444">
        <v>55</v>
      </c>
      <c r="AI444">
        <v>61</v>
      </c>
      <c r="AJ444">
        <v>0</v>
      </c>
      <c r="AK444">
        <v>19</v>
      </c>
      <c r="AL444" t="s">
        <v>85</v>
      </c>
      <c r="AM444" t="s">
        <v>86</v>
      </c>
      <c r="AN444" t="s">
        <v>87</v>
      </c>
      <c r="AO444" t="s">
        <v>3722</v>
      </c>
      <c r="AP444" t="s">
        <v>74</v>
      </c>
      <c r="AQ444" t="s">
        <v>74</v>
      </c>
      <c r="AR444" t="s">
        <v>3723</v>
      </c>
      <c r="AS444" t="s">
        <v>3724</v>
      </c>
      <c r="AT444" t="s">
        <v>6124</v>
      </c>
      <c r="AU444">
        <v>2003</v>
      </c>
      <c r="AV444">
        <v>42</v>
      </c>
      <c r="AW444">
        <v>6</v>
      </c>
      <c r="AX444" t="s">
        <v>74</v>
      </c>
      <c r="AY444" t="s">
        <v>74</v>
      </c>
      <c r="AZ444" t="s">
        <v>74</v>
      </c>
      <c r="BA444" t="s">
        <v>74</v>
      </c>
      <c r="BB444">
        <v>827</v>
      </c>
      <c r="BC444">
        <v>840</v>
      </c>
      <c r="BD444" t="s">
        <v>74</v>
      </c>
      <c r="BE444" t="s">
        <v>6638</v>
      </c>
      <c r="BF444" t="str">
        <f>HYPERLINK("http://dx.doi.org/10.1175/1520-0450(2003)042&lt;0827:ACRFAT&gt;2.0.CO;2","http://dx.doi.org/10.1175/1520-0450(2003)042&lt;0827:ACRFAT&gt;2.0.CO;2")</f>
        <v>http://dx.doi.org/10.1175/1520-0450(2003)042&lt;0827:ACRFAT&gt;2.0.CO;2</v>
      </c>
      <c r="BG444" t="s">
        <v>74</v>
      </c>
      <c r="BH444" t="s">
        <v>74</v>
      </c>
      <c r="BI444">
        <v>14</v>
      </c>
      <c r="BJ444" t="s">
        <v>93</v>
      </c>
      <c r="BK444" t="s">
        <v>94</v>
      </c>
      <c r="BL444" t="s">
        <v>93</v>
      </c>
      <c r="BM444" t="s">
        <v>6639</v>
      </c>
      <c r="BN444" t="s">
        <v>74</v>
      </c>
      <c r="BO444" t="s">
        <v>759</v>
      </c>
      <c r="BP444" t="s">
        <v>74</v>
      </c>
      <c r="BQ444" t="s">
        <v>74</v>
      </c>
      <c r="BR444" t="s">
        <v>97</v>
      </c>
      <c r="BS444" t="s">
        <v>6640</v>
      </c>
      <c r="BT444" t="str">
        <f>HYPERLINK("https%3A%2F%2Fwww.webofscience.com%2Fwos%2Fwoscc%2Ffull-record%2FWOS:000183151500012","View Full Record in Web of Science")</f>
        <v>View Full Record in Web of Science</v>
      </c>
    </row>
    <row r="445" spans="1:72" x14ac:dyDescent="0.15">
      <c r="A445" t="s">
        <v>72</v>
      </c>
      <c r="B445" t="s">
        <v>6641</v>
      </c>
      <c r="C445" t="s">
        <v>74</v>
      </c>
      <c r="D445" t="s">
        <v>74</v>
      </c>
      <c r="E445" t="s">
        <v>74</v>
      </c>
      <c r="F445" t="s">
        <v>6641</v>
      </c>
      <c r="G445" t="s">
        <v>74</v>
      </c>
      <c r="H445" t="s">
        <v>74</v>
      </c>
      <c r="I445" t="s">
        <v>6642</v>
      </c>
      <c r="J445" t="s">
        <v>6643</v>
      </c>
      <c r="K445" t="s">
        <v>74</v>
      </c>
      <c r="L445" t="s">
        <v>74</v>
      </c>
      <c r="M445" t="s">
        <v>77</v>
      </c>
      <c r="N445" t="s">
        <v>78</v>
      </c>
      <c r="O445" t="s">
        <v>74</v>
      </c>
      <c r="P445" t="s">
        <v>74</v>
      </c>
      <c r="Q445" t="s">
        <v>74</v>
      </c>
      <c r="R445" t="s">
        <v>74</v>
      </c>
      <c r="S445" t="s">
        <v>74</v>
      </c>
      <c r="T445" t="s">
        <v>74</v>
      </c>
      <c r="U445" t="s">
        <v>6644</v>
      </c>
      <c r="V445" t="s">
        <v>6645</v>
      </c>
      <c r="W445" t="s">
        <v>6646</v>
      </c>
      <c r="X445" t="s">
        <v>74</v>
      </c>
      <c r="Y445" t="s">
        <v>6647</v>
      </c>
      <c r="Z445" t="s">
        <v>74</v>
      </c>
      <c r="AA445" t="s">
        <v>74</v>
      </c>
      <c r="AB445" t="s">
        <v>6648</v>
      </c>
      <c r="AC445" t="s">
        <v>74</v>
      </c>
      <c r="AD445" t="s">
        <v>74</v>
      </c>
      <c r="AE445" t="s">
        <v>74</v>
      </c>
      <c r="AF445" t="s">
        <v>74</v>
      </c>
      <c r="AG445">
        <v>35</v>
      </c>
      <c r="AH445">
        <v>21</v>
      </c>
      <c r="AI445">
        <v>23</v>
      </c>
      <c r="AJ445">
        <v>0</v>
      </c>
      <c r="AK445">
        <v>13</v>
      </c>
      <c r="AL445" t="s">
        <v>5513</v>
      </c>
      <c r="AM445" t="s">
        <v>5514</v>
      </c>
      <c r="AN445" t="s">
        <v>5515</v>
      </c>
      <c r="AO445" t="s">
        <v>6649</v>
      </c>
      <c r="AP445" t="s">
        <v>74</v>
      </c>
      <c r="AQ445" t="s">
        <v>74</v>
      </c>
      <c r="AR445" t="s">
        <v>6650</v>
      </c>
      <c r="AS445" t="s">
        <v>6651</v>
      </c>
      <c r="AT445" t="s">
        <v>6124</v>
      </c>
      <c r="AU445">
        <v>2003</v>
      </c>
      <c r="AV445">
        <v>34</v>
      </c>
      <c r="AW445">
        <v>2</v>
      </c>
      <c r="AX445" t="s">
        <v>74</v>
      </c>
      <c r="AY445" t="s">
        <v>74</v>
      </c>
      <c r="AZ445" t="s">
        <v>74</v>
      </c>
      <c r="BA445" t="s">
        <v>74</v>
      </c>
      <c r="BB445">
        <v>139</v>
      </c>
      <c r="BC445">
        <v>144</v>
      </c>
      <c r="BD445" t="s">
        <v>74</v>
      </c>
      <c r="BE445" t="s">
        <v>6652</v>
      </c>
      <c r="BF445" t="str">
        <f>HYPERLINK("http://dx.doi.org/10.1034/j.1600-048X.2003.03100.x","http://dx.doi.org/10.1034/j.1600-048X.2003.03100.x")</f>
        <v>http://dx.doi.org/10.1034/j.1600-048X.2003.03100.x</v>
      </c>
      <c r="BG445" t="s">
        <v>74</v>
      </c>
      <c r="BH445" t="s">
        <v>74</v>
      </c>
      <c r="BI445">
        <v>6</v>
      </c>
      <c r="BJ445" t="s">
        <v>2546</v>
      </c>
      <c r="BK445" t="s">
        <v>94</v>
      </c>
      <c r="BL445" t="s">
        <v>258</v>
      </c>
      <c r="BM445" t="s">
        <v>6653</v>
      </c>
      <c r="BN445" t="s">
        <v>74</v>
      </c>
      <c r="BO445" t="s">
        <v>74</v>
      </c>
      <c r="BP445" t="s">
        <v>74</v>
      </c>
      <c r="BQ445" t="s">
        <v>74</v>
      </c>
      <c r="BR445" t="s">
        <v>97</v>
      </c>
      <c r="BS445" t="s">
        <v>6654</v>
      </c>
      <c r="BT445" t="str">
        <f>HYPERLINK("https%3A%2F%2Fwww.webofscience.com%2Fwos%2Fwoscc%2Ffull-record%2FWOS:000184105400003","View Full Record in Web of Science")</f>
        <v>View Full Record in Web of Science</v>
      </c>
    </row>
    <row r="446" spans="1:72" x14ac:dyDescent="0.15">
      <c r="A446" t="s">
        <v>72</v>
      </c>
      <c r="B446" t="s">
        <v>6655</v>
      </c>
      <c r="C446" t="s">
        <v>74</v>
      </c>
      <c r="D446" t="s">
        <v>74</v>
      </c>
      <c r="E446" t="s">
        <v>74</v>
      </c>
      <c r="F446" t="s">
        <v>6655</v>
      </c>
      <c r="G446" t="s">
        <v>74</v>
      </c>
      <c r="H446" t="s">
        <v>74</v>
      </c>
      <c r="I446" t="s">
        <v>6656</v>
      </c>
      <c r="J446" t="s">
        <v>6643</v>
      </c>
      <c r="K446" t="s">
        <v>74</v>
      </c>
      <c r="L446" t="s">
        <v>74</v>
      </c>
      <c r="M446" t="s">
        <v>77</v>
      </c>
      <c r="N446" t="s">
        <v>78</v>
      </c>
      <c r="O446" t="s">
        <v>74</v>
      </c>
      <c r="P446" t="s">
        <v>74</v>
      </c>
      <c r="Q446" t="s">
        <v>74</v>
      </c>
      <c r="R446" t="s">
        <v>74</v>
      </c>
      <c r="S446" t="s">
        <v>74</v>
      </c>
      <c r="T446" t="s">
        <v>74</v>
      </c>
      <c r="U446" t="s">
        <v>6657</v>
      </c>
      <c r="V446" t="s">
        <v>6658</v>
      </c>
      <c r="W446" t="s">
        <v>6659</v>
      </c>
      <c r="X446" t="s">
        <v>6660</v>
      </c>
      <c r="Y446" t="s">
        <v>6661</v>
      </c>
      <c r="Z446" t="s">
        <v>74</v>
      </c>
      <c r="AA446" t="s">
        <v>6662</v>
      </c>
      <c r="AB446" t="s">
        <v>6228</v>
      </c>
      <c r="AC446" t="s">
        <v>74</v>
      </c>
      <c r="AD446" t="s">
        <v>74</v>
      </c>
      <c r="AE446" t="s">
        <v>74</v>
      </c>
      <c r="AF446" t="s">
        <v>74</v>
      </c>
      <c r="AG446">
        <v>36</v>
      </c>
      <c r="AH446">
        <v>78</v>
      </c>
      <c r="AI446">
        <v>85</v>
      </c>
      <c r="AJ446">
        <v>0</v>
      </c>
      <c r="AK446">
        <v>21</v>
      </c>
      <c r="AL446" t="s">
        <v>5513</v>
      </c>
      <c r="AM446" t="s">
        <v>5514</v>
      </c>
      <c r="AN446" t="s">
        <v>5515</v>
      </c>
      <c r="AO446" t="s">
        <v>6649</v>
      </c>
      <c r="AP446" t="s">
        <v>74</v>
      </c>
      <c r="AQ446" t="s">
        <v>74</v>
      </c>
      <c r="AR446" t="s">
        <v>6650</v>
      </c>
      <c r="AS446" t="s">
        <v>6651</v>
      </c>
      <c r="AT446" t="s">
        <v>6124</v>
      </c>
      <c r="AU446">
        <v>2003</v>
      </c>
      <c r="AV446">
        <v>34</v>
      </c>
      <c r="AW446">
        <v>2</v>
      </c>
      <c r="AX446" t="s">
        <v>74</v>
      </c>
      <c r="AY446" t="s">
        <v>74</v>
      </c>
      <c r="AZ446" t="s">
        <v>74</v>
      </c>
      <c r="BA446" t="s">
        <v>74</v>
      </c>
      <c r="BB446">
        <v>170</v>
      </c>
      <c r="BC446">
        <v>176</v>
      </c>
      <c r="BD446" t="s">
        <v>74</v>
      </c>
      <c r="BE446" t="s">
        <v>6663</v>
      </c>
      <c r="BF446" t="str">
        <f>HYPERLINK("http://dx.doi.org/10.1034/j.1600-048X.2003.03031.x","http://dx.doi.org/10.1034/j.1600-048X.2003.03031.x")</f>
        <v>http://dx.doi.org/10.1034/j.1600-048X.2003.03031.x</v>
      </c>
      <c r="BG446" t="s">
        <v>74</v>
      </c>
      <c r="BH446" t="s">
        <v>74</v>
      </c>
      <c r="BI446">
        <v>7</v>
      </c>
      <c r="BJ446" t="s">
        <v>2546</v>
      </c>
      <c r="BK446" t="s">
        <v>94</v>
      </c>
      <c r="BL446" t="s">
        <v>258</v>
      </c>
      <c r="BM446" t="s">
        <v>6653</v>
      </c>
      <c r="BN446" t="s">
        <v>74</v>
      </c>
      <c r="BO446" t="s">
        <v>74</v>
      </c>
      <c r="BP446" t="s">
        <v>74</v>
      </c>
      <c r="BQ446" t="s">
        <v>74</v>
      </c>
      <c r="BR446" t="s">
        <v>97</v>
      </c>
      <c r="BS446" t="s">
        <v>6664</v>
      </c>
      <c r="BT446" t="str">
        <f>HYPERLINK("https%3A%2F%2Fwww.webofscience.com%2Fwos%2Fwoscc%2Ffull-record%2FWOS:000184105400009","View Full Record in Web of Science")</f>
        <v>View Full Record in Web of Science</v>
      </c>
    </row>
    <row r="447" spans="1:72" x14ac:dyDescent="0.15">
      <c r="A447" t="s">
        <v>72</v>
      </c>
      <c r="B447" t="s">
        <v>6665</v>
      </c>
      <c r="C447" t="s">
        <v>74</v>
      </c>
      <c r="D447" t="s">
        <v>74</v>
      </c>
      <c r="E447" t="s">
        <v>74</v>
      </c>
      <c r="F447" t="s">
        <v>6665</v>
      </c>
      <c r="G447" t="s">
        <v>74</v>
      </c>
      <c r="H447" t="s">
        <v>74</v>
      </c>
      <c r="I447" t="s">
        <v>6666</v>
      </c>
      <c r="J447" t="s">
        <v>76</v>
      </c>
      <c r="K447" t="s">
        <v>74</v>
      </c>
      <c r="L447" t="s">
        <v>74</v>
      </c>
      <c r="M447" t="s">
        <v>77</v>
      </c>
      <c r="N447" t="s">
        <v>78</v>
      </c>
      <c r="O447" t="s">
        <v>74</v>
      </c>
      <c r="P447" t="s">
        <v>74</v>
      </c>
      <c r="Q447" t="s">
        <v>74</v>
      </c>
      <c r="R447" t="s">
        <v>74</v>
      </c>
      <c r="S447" t="s">
        <v>74</v>
      </c>
      <c r="T447" t="s">
        <v>74</v>
      </c>
      <c r="U447" t="s">
        <v>6667</v>
      </c>
      <c r="V447" t="s">
        <v>6668</v>
      </c>
      <c r="W447" t="s">
        <v>6669</v>
      </c>
      <c r="X447" t="s">
        <v>6670</v>
      </c>
      <c r="Y447" t="s">
        <v>6671</v>
      </c>
      <c r="Z447" t="s">
        <v>74</v>
      </c>
      <c r="AA447" t="s">
        <v>6672</v>
      </c>
      <c r="AB447" t="s">
        <v>6673</v>
      </c>
      <c r="AC447" t="s">
        <v>74</v>
      </c>
      <c r="AD447" t="s">
        <v>74</v>
      </c>
      <c r="AE447" t="s">
        <v>74</v>
      </c>
      <c r="AF447" t="s">
        <v>74</v>
      </c>
      <c r="AG447">
        <v>48</v>
      </c>
      <c r="AH447">
        <v>198</v>
      </c>
      <c r="AI447">
        <v>222</v>
      </c>
      <c r="AJ447">
        <v>0</v>
      </c>
      <c r="AK447">
        <v>32</v>
      </c>
      <c r="AL447" t="s">
        <v>85</v>
      </c>
      <c r="AM447" t="s">
        <v>86</v>
      </c>
      <c r="AN447" t="s">
        <v>87</v>
      </c>
      <c r="AO447" t="s">
        <v>88</v>
      </c>
      <c r="AP447" t="s">
        <v>74</v>
      </c>
      <c r="AQ447" t="s">
        <v>74</v>
      </c>
      <c r="AR447" t="s">
        <v>89</v>
      </c>
      <c r="AS447" t="s">
        <v>90</v>
      </c>
      <c r="AT447" t="s">
        <v>6124</v>
      </c>
      <c r="AU447">
        <v>2003</v>
      </c>
      <c r="AV447">
        <v>16</v>
      </c>
      <c r="AW447">
        <v>12</v>
      </c>
      <c r="AX447" t="s">
        <v>74</v>
      </c>
      <c r="AY447" t="s">
        <v>74</v>
      </c>
      <c r="AZ447" t="s">
        <v>74</v>
      </c>
      <c r="BA447" t="s">
        <v>74</v>
      </c>
      <c r="BB447">
        <v>2067</v>
      </c>
      <c r="BC447">
        <v>2077</v>
      </c>
      <c r="BD447" t="s">
        <v>74</v>
      </c>
      <c r="BE447" t="s">
        <v>6674</v>
      </c>
      <c r="BF447" t="str">
        <f>HYPERLINK("http://dx.doi.org/10.1175/1520-0442(2003)016&lt;2067:VATOAT&gt;2.0.CO;2","http://dx.doi.org/10.1175/1520-0442(2003)016&lt;2067:VATOAT&gt;2.0.CO;2")</f>
        <v>http://dx.doi.org/10.1175/1520-0442(2003)016&lt;2067:VATOAT&gt;2.0.CO;2</v>
      </c>
      <c r="BG447" t="s">
        <v>74</v>
      </c>
      <c r="BH447" t="s">
        <v>74</v>
      </c>
      <c r="BI447">
        <v>11</v>
      </c>
      <c r="BJ447" t="s">
        <v>93</v>
      </c>
      <c r="BK447" t="s">
        <v>94</v>
      </c>
      <c r="BL447" t="s">
        <v>93</v>
      </c>
      <c r="BM447" t="s">
        <v>6675</v>
      </c>
      <c r="BN447" t="s">
        <v>74</v>
      </c>
      <c r="BO447" t="s">
        <v>96</v>
      </c>
      <c r="BP447" t="s">
        <v>74</v>
      </c>
      <c r="BQ447" t="s">
        <v>74</v>
      </c>
      <c r="BR447" t="s">
        <v>97</v>
      </c>
      <c r="BS447" t="s">
        <v>6676</v>
      </c>
      <c r="BT447" t="str">
        <f>HYPERLINK("https%3A%2F%2Fwww.webofscience.com%2Fwos%2Fwoscc%2Ffull-record%2FWOS:000183460100012","View Full Record in Web of Science")</f>
        <v>View Full Record in Web of Science</v>
      </c>
    </row>
    <row r="448" spans="1:72" x14ac:dyDescent="0.15">
      <c r="A448" t="s">
        <v>72</v>
      </c>
      <c r="B448" t="s">
        <v>6677</v>
      </c>
      <c r="C448" t="s">
        <v>74</v>
      </c>
      <c r="D448" t="s">
        <v>74</v>
      </c>
      <c r="E448" t="s">
        <v>74</v>
      </c>
      <c r="F448" t="s">
        <v>6677</v>
      </c>
      <c r="G448" t="s">
        <v>74</v>
      </c>
      <c r="H448" t="s">
        <v>74</v>
      </c>
      <c r="I448" t="s">
        <v>6678</v>
      </c>
      <c r="J448" t="s">
        <v>76</v>
      </c>
      <c r="K448" t="s">
        <v>74</v>
      </c>
      <c r="L448" t="s">
        <v>74</v>
      </c>
      <c r="M448" t="s">
        <v>77</v>
      </c>
      <c r="N448" t="s">
        <v>78</v>
      </c>
      <c r="O448" t="s">
        <v>74</v>
      </c>
      <c r="P448" t="s">
        <v>74</v>
      </c>
      <c r="Q448" t="s">
        <v>74</v>
      </c>
      <c r="R448" t="s">
        <v>74</v>
      </c>
      <c r="S448" t="s">
        <v>74</v>
      </c>
      <c r="T448" t="s">
        <v>74</v>
      </c>
      <c r="U448" t="s">
        <v>6679</v>
      </c>
      <c r="V448" t="s">
        <v>6680</v>
      </c>
      <c r="W448" t="s">
        <v>6669</v>
      </c>
      <c r="X448" t="s">
        <v>6670</v>
      </c>
      <c r="Y448" t="s">
        <v>6671</v>
      </c>
      <c r="Z448" t="s">
        <v>74</v>
      </c>
      <c r="AA448" t="s">
        <v>6681</v>
      </c>
      <c r="AB448" t="s">
        <v>6673</v>
      </c>
      <c r="AC448" t="s">
        <v>74</v>
      </c>
      <c r="AD448" t="s">
        <v>74</v>
      </c>
      <c r="AE448" t="s">
        <v>74</v>
      </c>
      <c r="AF448" t="s">
        <v>74</v>
      </c>
      <c r="AG448">
        <v>46</v>
      </c>
      <c r="AH448">
        <v>121</v>
      </c>
      <c r="AI448">
        <v>144</v>
      </c>
      <c r="AJ448">
        <v>1</v>
      </c>
      <c r="AK448">
        <v>21</v>
      </c>
      <c r="AL448" t="s">
        <v>85</v>
      </c>
      <c r="AM448" t="s">
        <v>86</v>
      </c>
      <c r="AN448" t="s">
        <v>87</v>
      </c>
      <c r="AO448" t="s">
        <v>88</v>
      </c>
      <c r="AP448" t="s">
        <v>74</v>
      </c>
      <c r="AQ448" t="s">
        <v>74</v>
      </c>
      <c r="AR448" t="s">
        <v>89</v>
      </c>
      <c r="AS448" t="s">
        <v>90</v>
      </c>
      <c r="AT448" t="s">
        <v>6124</v>
      </c>
      <c r="AU448">
        <v>2003</v>
      </c>
      <c r="AV448">
        <v>16</v>
      </c>
      <c r="AW448">
        <v>12</v>
      </c>
      <c r="AX448" t="s">
        <v>74</v>
      </c>
      <c r="AY448" t="s">
        <v>74</v>
      </c>
      <c r="AZ448" t="s">
        <v>74</v>
      </c>
      <c r="BA448" t="s">
        <v>74</v>
      </c>
      <c r="BB448">
        <v>2078</v>
      </c>
      <c r="BC448">
        <v>2085</v>
      </c>
      <c r="BD448" t="s">
        <v>74</v>
      </c>
      <c r="BE448" t="s">
        <v>6682</v>
      </c>
      <c r="BF448" t="str">
        <f>HYPERLINK("http://dx.doi.org/10.1175/1520-0442(2003)016&lt;2078:LIVIAM&gt;2.0.CO;2","http://dx.doi.org/10.1175/1520-0442(2003)016&lt;2078:LIVIAM&gt;2.0.CO;2")</f>
        <v>http://dx.doi.org/10.1175/1520-0442(2003)016&lt;2078:LIVIAM&gt;2.0.CO;2</v>
      </c>
      <c r="BG448" t="s">
        <v>74</v>
      </c>
      <c r="BH448" t="s">
        <v>74</v>
      </c>
      <c r="BI448">
        <v>8</v>
      </c>
      <c r="BJ448" t="s">
        <v>93</v>
      </c>
      <c r="BK448" t="s">
        <v>94</v>
      </c>
      <c r="BL448" t="s">
        <v>93</v>
      </c>
      <c r="BM448" t="s">
        <v>6675</v>
      </c>
      <c r="BN448" t="s">
        <v>74</v>
      </c>
      <c r="BO448" t="s">
        <v>96</v>
      </c>
      <c r="BP448" t="s">
        <v>74</v>
      </c>
      <c r="BQ448" t="s">
        <v>74</v>
      </c>
      <c r="BR448" t="s">
        <v>97</v>
      </c>
      <c r="BS448" t="s">
        <v>6683</v>
      </c>
      <c r="BT448" t="str">
        <f>HYPERLINK("https%3A%2F%2Fwww.webofscience.com%2Fwos%2Fwoscc%2Ffull-record%2FWOS:000183460100013","View Full Record in Web of Science")</f>
        <v>View Full Record in Web of Science</v>
      </c>
    </row>
    <row r="449" spans="1:72" x14ac:dyDescent="0.15">
      <c r="A449" t="s">
        <v>72</v>
      </c>
      <c r="B449" t="s">
        <v>6684</v>
      </c>
      <c r="C449" t="s">
        <v>74</v>
      </c>
      <c r="D449" t="s">
        <v>74</v>
      </c>
      <c r="E449" t="s">
        <v>74</v>
      </c>
      <c r="F449" t="s">
        <v>6684</v>
      </c>
      <c r="G449" t="s">
        <v>74</v>
      </c>
      <c r="H449" t="s">
        <v>74</v>
      </c>
      <c r="I449" t="s">
        <v>6685</v>
      </c>
      <c r="J449" t="s">
        <v>6686</v>
      </c>
      <c r="K449" t="s">
        <v>74</v>
      </c>
      <c r="L449" t="s">
        <v>74</v>
      </c>
      <c r="M449" t="s">
        <v>77</v>
      </c>
      <c r="N449" t="s">
        <v>78</v>
      </c>
      <c r="O449" t="s">
        <v>74</v>
      </c>
      <c r="P449" t="s">
        <v>74</v>
      </c>
      <c r="Q449" t="s">
        <v>74</v>
      </c>
      <c r="R449" t="s">
        <v>74</v>
      </c>
      <c r="S449" t="s">
        <v>74</v>
      </c>
      <c r="T449" t="s">
        <v>6687</v>
      </c>
      <c r="U449" t="s">
        <v>74</v>
      </c>
      <c r="V449" t="s">
        <v>6688</v>
      </c>
      <c r="W449" t="s">
        <v>6689</v>
      </c>
      <c r="X449" t="s">
        <v>3427</v>
      </c>
      <c r="Y449" t="s">
        <v>6690</v>
      </c>
      <c r="Z449" t="s">
        <v>6691</v>
      </c>
      <c r="AA449" t="s">
        <v>6692</v>
      </c>
      <c r="AB449" t="s">
        <v>6693</v>
      </c>
      <c r="AC449" t="s">
        <v>74</v>
      </c>
      <c r="AD449" t="s">
        <v>74</v>
      </c>
      <c r="AE449" t="s">
        <v>74</v>
      </c>
      <c r="AF449" t="s">
        <v>74</v>
      </c>
      <c r="AG449">
        <v>33</v>
      </c>
      <c r="AH449">
        <v>83</v>
      </c>
      <c r="AI449">
        <v>84</v>
      </c>
      <c r="AJ449">
        <v>0</v>
      </c>
      <c r="AK449">
        <v>0</v>
      </c>
      <c r="AL449" t="s">
        <v>6694</v>
      </c>
      <c r="AM449" t="s">
        <v>6695</v>
      </c>
      <c r="AN449" t="s">
        <v>6696</v>
      </c>
      <c r="AO449" t="s">
        <v>6697</v>
      </c>
      <c r="AP449" t="s">
        <v>74</v>
      </c>
      <c r="AQ449" t="s">
        <v>74</v>
      </c>
      <c r="AR449" t="s">
        <v>6698</v>
      </c>
      <c r="AS449" t="s">
        <v>6699</v>
      </c>
      <c r="AT449" t="s">
        <v>6124</v>
      </c>
      <c r="AU449">
        <v>2003</v>
      </c>
      <c r="AV449" t="s">
        <v>74</v>
      </c>
      <c r="AW449">
        <v>6</v>
      </c>
      <c r="AX449" t="s">
        <v>74</v>
      </c>
      <c r="AY449" t="s">
        <v>74</v>
      </c>
      <c r="AZ449" t="s">
        <v>74</v>
      </c>
      <c r="BA449" t="s">
        <v>74</v>
      </c>
      <c r="BB449" t="s">
        <v>74</v>
      </c>
      <c r="BC449" t="s">
        <v>74</v>
      </c>
      <c r="BD449">
        <v>5</v>
      </c>
      <c r="BE449" t="s">
        <v>74</v>
      </c>
      <c r="BF449" t="s">
        <v>74</v>
      </c>
      <c r="BG449" t="s">
        <v>74</v>
      </c>
      <c r="BH449" t="s">
        <v>74</v>
      </c>
      <c r="BI449">
        <v>17</v>
      </c>
      <c r="BJ449" t="s">
        <v>2834</v>
      </c>
      <c r="BK449" t="s">
        <v>94</v>
      </c>
      <c r="BL449" t="s">
        <v>2835</v>
      </c>
      <c r="BM449" t="s">
        <v>6700</v>
      </c>
      <c r="BN449" t="s">
        <v>74</v>
      </c>
      <c r="BO449" t="s">
        <v>74</v>
      </c>
      <c r="BP449" t="s">
        <v>74</v>
      </c>
      <c r="BQ449" t="s">
        <v>74</v>
      </c>
      <c r="BR449" t="s">
        <v>97</v>
      </c>
      <c r="BS449" t="s">
        <v>6701</v>
      </c>
      <c r="BT449" t="str">
        <f>HYPERLINK("https%3A%2F%2Fwww.webofscience.com%2Fwos%2Fwoscc%2Ffull-record%2FWOS:000185759900005","View Full Record in Web of Science")</f>
        <v>View Full Record in Web of Science</v>
      </c>
    </row>
    <row r="450" spans="1:72" x14ac:dyDescent="0.15">
      <c r="A450" t="s">
        <v>72</v>
      </c>
      <c r="B450" t="s">
        <v>6702</v>
      </c>
      <c r="C450" t="s">
        <v>74</v>
      </c>
      <c r="D450" t="s">
        <v>74</v>
      </c>
      <c r="E450" t="s">
        <v>74</v>
      </c>
      <c r="F450" t="s">
        <v>6702</v>
      </c>
      <c r="G450" t="s">
        <v>74</v>
      </c>
      <c r="H450" t="s">
        <v>74</v>
      </c>
      <c r="I450" t="s">
        <v>6703</v>
      </c>
      <c r="J450" t="s">
        <v>6704</v>
      </c>
      <c r="K450" t="s">
        <v>74</v>
      </c>
      <c r="L450" t="s">
        <v>74</v>
      </c>
      <c r="M450" t="s">
        <v>77</v>
      </c>
      <c r="N450" t="s">
        <v>78</v>
      </c>
      <c r="O450" t="s">
        <v>74</v>
      </c>
      <c r="P450" t="s">
        <v>74</v>
      </c>
      <c r="Q450" t="s">
        <v>74</v>
      </c>
      <c r="R450" t="s">
        <v>74</v>
      </c>
      <c r="S450" t="s">
        <v>74</v>
      </c>
      <c r="T450" t="s">
        <v>6705</v>
      </c>
      <c r="U450" t="s">
        <v>74</v>
      </c>
      <c r="V450" t="s">
        <v>6706</v>
      </c>
      <c r="W450" t="s">
        <v>6707</v>
      </c>
      <c r="X450" t="s">
        <v>803</v>
      </c>
      <c r="Y450" t="s">
        <v>6708</v>
      </c>
      <c r="Z450" t="s">
        <v>6709</v>
      </c>
      <c r="AA450" t="s">
        <v>6710</v>
      </c>
      <c r="AB450" t="s">
        <v>6711</v>
      </c>
      <c r="AC450" t="s">
        <v>74</v>
      </c>
      <c r="AD450" t="s">
        <v>74</v>
      </c>
      <c r="AE450" t="s">
        <v>74</v>
      </c>
      <c r="AF450" t="s">
        <v>74</v>
      </c>
      <c r="AG450">
        <v>9</v>
      </c>
      <c r="AH450">
        <v>22</v>
      </c>
      <c r="AI450">
        <v>31</v>
      </c>
      <c r="AJ450">
        <v>2</v>
      </c>
      <c r="AK450">
        <v>27</v>
      </c>
      <c r="AL450" t="s">
        <v>207</v>
      </c>
      <c r="AM450" t="s">
        <v>229</v>
      </c>
      <c r="AN450" t="s">
        <v>323</v>
      </c>
      <c r="AO450" t="s">
        <v>6712</v>
      </c>
      <c r="AP450" t="s">
        <v>6713</v>
      </c>
      <c r="AQ450" t="s">
        <v>74</v>
      </c>
      <c r="AR450" t="s">
        <v>6714</v>
      </c>
      <c r="AS450" t="s">
        <v>6715</v>
      </c>
      <c r="AT450" t="s">
        <v>6124</v>
      </c>
      <c r="AU450">
        <v>2003</v>
      </c>
      <c r="AV450">
        <v>77</v>
      </c>
      <c r="AW450" t="s">
        <v>116</v>
      </c>
      <c r="AX450" t="s">
        <v>74</v>
      </c>
      <c r="AY450" t="s">
        <v>74</v>
      </c>
      <c r="AZ450" t="s">
        <v>74</v>
      </c>
      <c r="BA450" t="s">
        <v>74</v>
      </c>
      <c r="BB450">
        <v>148</v>
      </c>
      <c r="BC450">
        <v>154</v>
      </c>
      <c r="BD450" t="s">
        <v>74</v>
      </c>
      <c r="BE450" t="s">
        <v>6716</v>
      </c>
      <c r="BF450" t="str">
        <f>HYPERLINK("http://dx.doi.org/10.1007/s00190-003-0319-4","http://dx.doi.org/10.1007/s00190-003-0319-4")</f>
        <v>http://dx.doi.org/10.1007/s00190-003-0319-4</v>
      </c>
      <c r="BG450" t="s">
        <v>74</v>
      </c>
      <c r="BH450" t="s">
        <v>74</v>
      </c>
      <c r="BI450">
        <v>7</v>
      </c>
      <c r="BJ450" t="s">
        <v>6717</v>
      </c>
      <c r="BK450" t="s">
        <v>94</v>
      </c>
      <c r="BL450" t="s">
        <v>6717</v>
      </c>
      <c r="BM450" t="s">
        <v>6718</v>
      </c>
      <c r="BN450" t="s">
        <v>74</v>
      </c>
      <c r="BO450" t="s">
        <v>74</v>
      </c>
      <c r="BP450" t="s">
        <v>74</v>
      </c>
      <c r="BQ450" t="s">
        <v>74</v>
      </c>
      <c r="BR450" t="s">
        <v>97</v>
      </c>
      <c r="BS450" t="s">
        <v>6719</v>
      </c>
      <c r="BT450" t="str">
        <f>HYPERLINK("https%3A%2F%2Fwww.webofscience.com%2Fwos%2Fwoscc%2Ffull-record%2FWOS:000184318700004","View Full Record in Web of Science")</f>
        <v>View Full Record in Web of Science</v>
      </c>
    </row>
    <row r="451" spans="1:72" x14ac:dyDescent="0.15">
      <c r="A451" t="s">
        <v>72</v>
      </c>
      <c r="B451" t="s">
        <v>6720</v>
      </c>
      <c r="C451" t="s">
        <v>74</v>
      </c>
      <c r="D451" t="s">
        <v>74</v>
      </c>
      <c r="E451" t="s">
        <v>74</v>
      </c>
      <c r="F451" t="s">
        <v>6720</v>
      </c>
      <c r="G451" t="s">
        <v>74</v>
      </c>
      <c r="H451" t="s">
        <v>74</v>
      </c>
      <c r="I451" t="s">
        <v>6721</v>
      </c>
      <c r="J451" t="s">
        <v>6722</v>
      </c>
      <c r="K451" t="s">
        <v>74</v>
      </c>
      <c r="L451" t="s">
        <v>74</v>
      </c>
      <c r="M451" t="s">
        <v>77</v>
      </c>
      <c r="N451" t="s">
        <v>159</v>
      </c>
      <c r="O451" t="s">
        <v>6723</v>
      </c>
      <c r="P451" t="s">
        <v>6724</v>
      </c>
      <c r="Q451" t="s">
        <v>6725</v>
      </c>
      <c r="R451" t="s">
        <v>74</v>
      </c>
      <c r="S451" t="s">
        <v>74</v>
      </c>
      <c r="T451" t="s">
        <v>6726</v>
      </c>
      <c r="U451" t="s">
        <v>74</v>
      </c>
      <c r="V451" t="s">
        <v>6727</v>
      </c>
      <c r="W451" t="s">
        <v>4075</v>
      </c>
      <c r="X451" t="s">
        <v>4076</v>
      </c>
      <c r="Y451" t="s">
        <v>4062</v>
      </c>
      <c r="Z451" t="s">
        <v>4063</v>
      </c>
      <c r="AA451" t="s">
        <v>74</v>
      </c>
      <c r="AB451" t="s">
        <v>74</v>
      </c>
      <c r="AC451" t="s">
        <v>74</v>
      </c>
      <c r="AD451" t="s">
        <v>74</v>
      </c>
      <c r="AE451" t="s">
        <v>74</v>
      </c>
      <c r="AF451" t="s">
        <v>74</v>
      </c>
      <c r="AG451">
        <v>12</v>
      </c>
      <c r="AH451">
        <v>70</v>
      </c>
      <c r="AI451">
        <v>72</v>
      </c>
      <c r="AJ451">
        <v>0</v>
      </c>
      <c r="AK451">
        <v>18</v>
      </c>
      <c r="AL451" t="s">
        <v>781</v>
      </c>
      <c r="AM451" t="s">
        <v>111</v>
      </c>
      <c r="AN451" t="s">
        <v>782</v>
      </c>
      <c r="AO451" t="s">
        <v>6728</v>
      </c>
      <c r="AP451" t="s">
        <v>6729</v>
      </c>
      <c r="AQ451" t="s">
        <v>74</v>
      </c>
      <c r="AR451" t="s">
        <v>6730</v>
      </c>
      <c r="AS451" t="s">
        <v>6731</v>
      </c>
      <c r="AT451" t="s">
        <v>6732</v>
      </c>
      <c r="AU451">
        <v>2003</v>
      </c>
      <c r="AV451">
        <v>651</v>
      </c>
      <c r="AW451" t="s">
        <v>74</v>
      </c>
      <c r="AX451" t="s">
        <v>74</v>
      </c>
      <c r="AY451" t="s">
        <v>74</v>
      </c>
      <c r="AZ451" t="s">
        <v>74</v>
      </c>
      <c r="BA451" t="s">
        <v>74</v>
      </c>
      <c r="BB451">
        <v>27</v>
      </c>
      <c r="BC451">
        <v>37</v>
      </c>
      <c r="BD451" t="s">
        <v>6733</v>
      </c>
      <c r="BE451" t="s">
        <v>6734</v>
      </c>
      <c r="BF451" t="str">
        <f>HYPERLINK("http://dx.doi.org/10.1016/S0022-2860(02)00626-9","http://dx.doi.org/10.1016/S0022-2860(02)00626-9")</f>
        <v>http://dx.doi.org/10.1016/S0022-2860(02)00626-9</v>
      </c>
      <c r="BG451" t="s">
        <v>74</v>
      </c>
      <c r="BH451" t="s">
        <v>74</v>
      </c>
      <c r="BI451">
        <v>11</v>
      </c>
      <c r="BJ451" t="s">
        <v>6735</v>
      </c>
      <c r="BK451" t="s">
        <v>177</v>
      </c>
      <c r="BL451" t="s">
        <v>4142</v>
      </c>
      <c r="BM451" t="s">
        <v>6736</v>
      </c>
      <c r="BN451" t="s">
        <v>74</v>
      </c>
      <c r="BO451" t="s">
        <v>74</v>
      </c>
      <c r="BP451" t="s">
        <v>74</v>
      </c>
      <c r="BQ451" t="s">
        <v>74</v>
      </c>
      <c r="BR451" t="s">
        <v>97</v>
      </c>
      <c r="BS451" t="s">
        <v>6737</v>
      </c>
      <c r="BT451" t="str">
        <f>HYPERLINK("https%3A%2F%2Fwww.webofscience.com%2Fwos%2Fwoscc%2Ffull-record%2FWOS:000183424200004","View Full Record in Web of Science")</f>
        <v>View Full Record in Web of Science</v>
      </c>
    </row>
    <row r="452" spans="1:72" x14ac:dyDescent="0.15">
      <c r="A452" t="s">
        <v>72</v>
      </c>
      <c r="B452" t="s">
        <v>6738</v>
      </c>
      <c r="C452" t="s">
        <v>74</v>
      </c>
      <c r="D452" t="s">
        <v>74</v>
      </c>
      <c r="E452" t="s">
        <v>74</v>
      </c>
      <c r="F452" t="s">
        <v>6738</v>
      </c>
      <c r="G452" t="s">
        <v>74</v>
      </c>
      <c r="H452" t="s">
        <v>74</v>
      </c>
      <c r="I452" t="s">
        <v>6739</v>
      </c>
      <c r="J452" t="s">
        <v>6740</v>
      </c>
      <c r="K452" t="s">
        <v>74</v>
      </c>
      <c r="L452" t="s">
        <v>74</v>
      </c>
      <c r="M452" t="s">
        <v>77</v>
      </c>
      <c r="N452" t="s">
        <v>78</v>
      </c>
      <c r="O452" t="s">
        <v>74</v>
      </c>
      <c r="P452" t="s">
        <v>74</v>
      </c>
      <c r="Q452" t="s">
        <v>74</v>
      </c>
      <c r="R452" t="s">
        <v>74</v>
      </c>
      <c r="S452" t="s">
        <v>74</v>
      </c>
      <c r="T452" t="s">
        <v>74</v>
      </c>
      <c r="U452" t="s">
        <v>6741</v>
      </c>
      <c r="V452" t="s">
        <v>6742</v>
      </c>
      <c r="W452" t="s">
        <v>6743</v>
      </c>
      <c r="X452" t="s">
        <v>6744</v>
      </c>
      <c r="Y452" t="s">
        <v>6745</v>
      </c>
      <c r="Z452" t="s">
        <v>2183</v>
      </c>
      <c r="AA452" t="s">
        <v>1168</v>
      </c>
      <c r="AB452" t="s">
        <v>74</v>
      </c>
      <c r="AC452" t="s">
        <v>74</v>
      </c>
      <c r="AD452" t="s">
        <v>74</v>
      </c>
      <c r="AE452" t="s">
        <v>74</v>
      </c>
      <c r="AF452" t="s">
        <v>74</v>
      </c>
      <c r="AG452">
        <v>8</v>
      </c>
      <c r="AH452">
        <v>29</v>
      </c>
      <c r="AI452">
        <v>32</v>
      </c>
      <c r="AJ452">
        <v>0</v>
      </c>
      <c r="AK452">
        <v>10</v>
      </c>
      <c r="AL452" t="s">
        <v>4346</v>
      </c>
      <c r="AM452" t="s">
        <v>540</v>
      </c>
      <c r="AN452" t="s">
        <v>4347</v>
      </c>
      <c r="AO452" t="s">
        <v>6746</v>
      </c>
      <c r="AP452" t="s">
        <v>6747</v>
      </c>
      <c r="AQ452" t="s">
        <v>74</v>
      </c>
      <c r="AR452" t="s">
        <v>6748</v>
      </c>
      <c r="AS452" t="s">
        <v>6749</v>
      </c>
      <c r="AT452" t="s">
        <v>6124</v>
      </c>
      <c r="AU452">
        <v>2003</v>
      </c>
      <c r="AV452">
        <v>66</v>
      </c>
      <c r="AW452">
        <v>6</v>
      </c>
      <c r="AX452" t="s">
        <v>74</v>
      </c>
      <c r="AY452" t="s">
        <v>74</v>
      </c>
      <c r="AZ452" t="s">
        <v>74</v>
      </c>
      <c r="BA452" t="s">
        <v>74</v>
      </c>
      <c r="BB452">
        <v>888</v>
      </c>
      <c r="BC452">
        <v>890</v>
      </c>
      <c r="BD452" t="s">
        <v>74</v>
      </c>
      <c r="BE452" t="s">
        <v>6750</v>
      </c>
      <c r="BF452" t="str">
        <f>HYPERLINK("http://dx.doi.org/10.1021/np030051k","http://dx.doi.org/10.1021/np030051k")</f>
        <v>http://dx.doi.org/10.1021/np030051k</v>
      </c>
      <c r="BG452" t="s">
        <v>74</v>
      </c>
      <c r="BH452" t="s">
        <v>74</v>
      </c>
      <c r="BI452">
        <v>3</v>
      </c>
      <c r="BJ452" t="s">
        <v>6751</v>
      </c>
      <c r="BK452" t="s">
        <v>3339</v>
      </c>
      <c r="BL452" t="s">
        <v>6752</v>
      </c>
      <c r="BM452" t="s">
        <v>6753</v>
      </c>
      <c r="BN452">
        <v>12828486</v>
      </c>
      <c r="BO452" t="s">
        <v>74</v>
      </c>
      <c r="BP452" t="s">
        <v>74</v>
      </c>
      <c r="BQ452" t="s">
        <v>74</v>
      </c>
      <c r="BR452" t="s">
        <v>97</v>
      </c>
      <c r="BS452" t="s">
        <v>6754</v>
      </c>
      <c r="BT452" t="str">
        <f>HYPERLINK("https%3A%2F%2Fwww.webofscience.com%2Fwos%2Fwoscc%2Ffull-record%2FWOS:000183814600034","View Full Record in Web of Science")</f>
        <v>View Full Record in Web of Science</v>
      </c>
    </row>
    <row r="453" spans="1:72" x14ac:dyDescent="0.15">
      <c r="A453" t="s">
        <v>72</v>
      </c>
      <c r="B453" t="s">
        <v>6755</v>
      </c>
      <c r="C453" t="s">
        <v>74</v>
      </c>
      <c r="D453" t="s">
        <v>74</v>
      </c>
      <c r="E453" t="s">
        <v>74</v>
      </c>
      <c r="F453" t="s">
        <v>6755</v>
      </c>
      <c r="G453" t="s">
        <v>74</v>
      </c>
      <c r="H453" t="s">
        <v>74</v>
      </c>
      <c r="I453" t="s">
        <v>6756</v>
      </c>
      <c r="J453" t="s">
        <v>3855</v>
      </c>
      <c r="K453" t="s">
        <v>74</v>
      </c>
      <c r="L453" t="s">
        <v>74</v>
      </c>
      <c r="M453" t="s">
        <v>77</v>
      </c>
      <c r="N453" t="s">
        <v>78</v>
      </c>
      <c r="O453" t="s">
        <v>74</v>
      </c>
      <c r="P453" t="s">
        <v>74</v>
      </c>
      <c r="Q453" t="s">
        <v>74</v>
      </c>
      <c r="R453" t="s">
        <v>74</v>
      </c>
      <c r="S453" t="s">
        <v>74</v>
      </c>
      <c r="T453" t="s">
        <v>6757</v>
      </c>
      <c r="U453" t="s">
        <v>6758</v>
      </c>
      <c r="V453" t="s">
        <v>6759</v>
      </c>
      <c r="W453" t="s">
        <v>6760</v>
      </c>
      <c r="X453" t="s">
        <v>4167</v>
      </c>
      <c r="Y453" t="s">
        <v>3968</v>
      </c>
      <c r="Z453" t="s">
        <v>74</v>
      </c>
      <c r="AA453" t="s">
        <v>6761</v>
      </c>
      <c r="AB453" t="s">
        <v>6762</v>
      </c>
      <c r="AC453" t="s">
        <v>74</v>
      </c>
      <c r="AD453" t="s">
        <v>74</v>
      </c>
      <c r="AE453" t="s">
        <v>74</v>
      </c>
      <c r="AF453" t="s">
        <v>74</v>
      </c>
      <c r="AG453">
        <v>39</v>
      </c>
      <c r="AH453">
        <v>33</v>
      </c>
      <c r="AI453">
        <v>39</v>
      </c>
      <c r="AJ453">
        <v>1</v>
      </c>
      <c r="AK453">
        <v>23</v>
      </c>
      <c r="AL453" t="s">
        <v>3862</v>
      </c>
      <c r="AM453" t="s">
        <v>3863</v>
      </c>
      <c r="AN453" t="s">
        <v>3864</v>
      </c>
      <c r="AO453" t="s">
        <v>3865</v>
      </c>
      <c r="AP453" t="s">
        <v>74</v>
      </c>
      <c r="AQ453" t="s">
        <v>74</v>
      </c>
      <c r="AR453" t="s">
        <v>3866</v>
      </c>
      <c r="AS453" t="s">
        <v>3867</v>
      </c>
      <c r="AT453" t="s">
        <v>6124</v>
      </c>
      <c r="AU453">
        <v>2003</v>
      </c>
      <c r="AV453">
        <v>39</v>
      </c>
      <c r="AW453">
        <v>3</v>
      </c>
      <c r="AX453" t="s">
        <v>74</v>
      </c>
      <c r="AY453" t="s">
        <v>74</v>
      </c>
      <c r="AZ453" t="s">
        <v>74</v>
      </c>
      <c r="BA453" t="s">
        <v>74</v>
      </c>
      <c r="BB453">
        <v>490</v>
      </c>
      <c r="BC453">
        <v>503</v>
      </c>
      <c r="BD453" t="s">
        <v>74</v>
      </c>
      <c r="BE453" t="s">
        <v>6763</v>
      </c>
      <c r="BF453" t="str">
        <f>HYPERLINK("http://dx.doi.org/10.1046/j.1529-8817.2003.01251.x","http://dx.doi.org/10.1046/j.1529-8817.2003.01251.x")</f>
        <v>http://dx.doi.org/10.1046/j.1529-8817.2003.01251.x</v>
      </c>
      <c r="BG453" t="s">
        <v>74</v>
      </c>
      <c r="BH453" t="s">
        <v>74</v>
      </c>
      <c r="BI453">
        <v>14</v>
      </c>
      <c r="BJ453" t="s">
        <v>3869</v>
      </c>
      <c r="BK453" t="s">
        <v>94</v>
      </c>
      <c r="BL453" t="s">
        <v>3869</v>
      </c>
      <c r="BM453" t="s">
        <v>6764</v>
      </c>
      <c r="BN453" t="s">
        <v>74</v>
      </c>
      <c r="BO453" t="s">
        <v>74</v>
      </c>
      <c r="BP453" t="s">
        <v>74</v>
      </c>
      <c r="BQ453" t="s">
        <v>74</v>
      </c>
      <c r="BR453" t="s">
        <v>97</v>
      </c>
      <c r="BS453" t="s">
        <v>6765</v>
      </c>
      <c r="BT453" t="str">
        <f>HYPERLINK("https%3A%2F%2Fwww.webofscience.com%2Fwos%2Fwoscc%2Ffull-record%2FWOS:000183070000003","View Full Record in Web of Science")</f>
        <v>View Full Record in Web of Science</v>
      </c>
    </row>
    <row r="454" spans="1:72" x14ac:dyDescent="0.15">
      <c r="A454" t="s">
        <v>72</v>
      </c>
      <c r="B454" t="s">
        <v>6766</v>
      </c>
      <c r="C454" t="s">
        <v>74</v>
      </c>
      <c r="D454" t="s">
        <v>74</v>
      </c>
      <c r="E454" t="s">
        <v>74</v>
      </c>
      <c r="F454" t="s">
        <v>6766</v>
      </c>
      <c r="G454" t="s">
        <v>74</v>
      </c>
      <c r="H454" t="s">
        <v>74</v>
      </c>
      <c r="I454" t="s">
        <v>6767</v>
      </c>
      <c r="J454" t="s">
        <v>3874</v>
      </c>
      <c r="K454" t="s">
        <v>74</v>
      </c>
      <c r="L454" t="s">
        <v>74</v>
      </c>
      <c r="M454" t="s">
        <v>77</v>
      </c>
      <c r="N454" t="s">
        <v>78</v>
      </c>
      <c r="O454" t="s">
        <v>74</v>
      </c>
      <c r="P454" t="s">
        <v>74</v>
      </c>
      <c r="Q454" t="s">
        <v>74</v>
      </c>
      <c r="R454" t="s">
        <v>74</v>
      </c>
      <c r="S454" t="s">
        <v>74</v>
      </c>
      <c r="T454" t="s">
        <v>74</v>
      </c>
      <c r="U454" t="s">
        <v>6768</v>
      </c>
      <c r="V454" t="s">
        <v>6769</v>
      </c>
      <c r="W454" t="s">
        <v>6770</v>
      </c>
      <c r="X454" t="s">
        <v>6771</v>
      </c>
      <c r="Y454" t="s">
        <v>6772</v>
      </c>
      <c r="Z454" t="s">
        <v>74</v>
      </c>
      <c r="AA454" t="s">
        <v>6773</v>
      </c>
      <c r="AB454" t="s">
        <v>6774</v>
      </c>
      <c r="AC454" t="s">
        <v>74</v>
      </c>
      <c r="AD454" t="s">
        <v>74</v>
      </c>
      <c r="AE454" t="s">
        <v>74</v>
      </c>
      <c r="AF454" t="s">
        <v>74</v>
      </c>
      <c r="AG454">
        <v>36</v>
      </c>
      <c r="AH454">
        <v>81</v>
      </c>
      <c r="AI454">
        <v>93</v>
      </c>
      <c r="AJ454">
        <v>0</v>
      </c>
      <c r="AK454">
        <v>14</v>
      </c>
      <c r="AL454" t="s">
        <v>85</v>
      </c>
      <c r="AM454" t="s">
        <v>86</v>
      </c>
      <c r="AN454" t="s">
        <v>87</v>
      </c>
      <c r="AO454" t="s">
        <v>3878</v>
      </c>
      <c r="AP454" t="s">
        <v>74</v>
      </c>
      <c r="AQ454" t="s">
        <v>74</v>
      </c>
      <c r="AR454" t="s">
        <v>3879</v>
      </c>
      <c r="AS454" t="s">
        <v>3880</v>
      </c>
      <c r="AT454" t="s">
        <v>6124</v>
      </c>
      <c r="AU454">
        <v>2003</v>
      </c>
      <c r="AV454">
        <v>33</v>
      </c>
      <c r="AW454">
        <v>6</v>
      </c>
      <c r="AX454" t="s">
        <v>74</v>
      </c>
      <c r="AY454" t="s">
        <v>74</v>
      </c>
      <c r="AZ454" t="s">
        <v>74</v>
      </c>
      <c r="BA454" t="s">
        <v>74</v>
      </c>
      <c r="BB454">
        <v>1167</v>
      </c>
      <c r="BC454">
        <v>1181</v>
      </c>
      <c r="BD454" t="s">
        <v>74</v>
      </c>
      <c r="BE454" t="s">
        <v>6775</v>
      </c>
      <c r="BF454" t="str">
        <f>HYPERLINK("http://dx.doi.org/10.1175/1520-0485(2003)033&lt;1167:FOOTSO&gt;2.0.CO;2","http://dx.doi.org/10.1175/1520-0485(2003)033&lt;1167:FOOTSO&gt;2.0.CO;2")</f>
        <v>http://dx.doi.org/10.1175/1520-0485(2003)033&lt;1167:FOOTSO&gt;2.0.CO;2</v>
      </c>
      <c r="BG454" t="s">
        <v>74</v>
      </c>
      <c r="BH454" t="s">
        <v>74</v>
      </c>
      <c r="BI454">
        <v>15</v>
      </c>
      <c r="BJ454" t="s">
        <v>678</v>
      </c>
      <c r="BK454" t="s">
        <v>94</v>
      </c>
      <c r="BL454" t="s">
        <v>678</v>
      </c>
      <c r="BM454" t="s">
        <v>6776</v>
      </c>
      <c r="BN454" t="s">
        <v>74</v>
      </c>
      <c r="BO454" t="s">
        <v>96</v>
      </c>
      <c r="BP454" t="s">
        <v>74</v>
      </c>
      <c r="BQ454" t="s">
        <v>74</v>
      </c>
      <c r="BR454" t="s">
        <v>97</v>
      </c>
      <c r="BS454" t="s">
        <v>6777</v>
      </c>
      <c r="BT454" t="str">
        <f>HYPERLINK("https%3A%2F%2Fwww.webofscience.com%2Fwos%2Fwoscc%2Ffull-record%2FWOS:000182963200002","View Full Record in Web of Science")</f>
        <v>View Full Record in Web of Science</v>
      </c>
    </row>
    <row r="455" spans="1:72" x14ac:dyDescent="0.15">
      <c r="A455" t="s">
        <v>72</v>
      </c>
      <c r="B455" t="s">
        <v>6766</v>
      </c>
      <c r="C455" t="s">
        <v>74</v>
      </c>
      <c r="D455" t="s">
        <v>74</v>
      </c>
      <c r="E455" t="s">
        <v>74</v>
      </c>
      <c r="F455" t="s">
        <v>6766</v>
      </c>
      <c r="G455" t="s">
        <v>74</v>
      </c>
      <c r="H455" t="s">
        <v>74</v>
      </c>
      <c r="I455" t="s">
        <v>6778</v>
      </c>
      <c r="J455" t="s">
        <v>3874</v>
      </c>
      <c r="K455" t="s">
        <v>74</v>
      </c>
      <c r="L455" t="s">
        <v>74</v>
      </c>
      <c r="M455" t="s">
        <v>77</v>
      </c>
      <c r="N455" t="s">
        <v>78</v>
      </c>
      <c r="O455" t="s">
        <v>74</v>
      </c>
      <c r="P455" t="s">
        <v>74</v>
      </c>
      <c r="Q455" t="s">
        <v>74</v>
      </c>
      <c r="R455" t="s">
        <v>74</v>
      </c>
      <c r="S455" t="s">
        <v>74</v>
      </c>
      <c r="T455" t="s">
        <v>74</v>
      </c>
      <c r="U455" t="s">
        <v>6779</v>
      </c>
      <c r="V455" t="s">
        <v>6780</v>
      </c>
      <c r="W455" t="s">
        <v>6781</v>
      </c>
      <c r="X455" t="s">
        <v>6771</v>
      </c>
      <c r="Y455" t="s">
        <v>6782</v>
      </c>
      <c r="Z455" t="s">
        <v>6783</v>
      </c>
      <c r="AA455" t="s">
        <v>6773</v>
      </c>
      <c r="AB455" t="s">
        <v>6774</v>
      </c>
      <c r="AC455" t="s">
        <v>74</v>
      </c>
      <c r="AD455" t="s">
        <v>74</v>
      </c>
      <c r="AE455" t="s">
        <v>74</v>
      </c>
      <c r="AF455" t="s">
        <v>74</v>
      </c>
      <c r="AG455">
        <v>36</v>
      </c>
      <c r="AH455">
        <v>51</v>
      </c>
      <c r="AI455">
        <v>60</v>
      </c>
      <c r="AJ455">
        <v>1</v>
      </c>
      <c r="AK455">
        <v>13</v>
      </c>
      <c r="AL455" t="s">
        <v>85</v>
      </c>
      <c r="AM455" t="s">
        <v>86</v>
      </c>
      <c r="AN455" t="s">
        <v>87</v>
      </c>
      <c r="AO455" t="s">
        <v>3878</v>
      </c>
      <c r="AP455" t="s">
        <v>5259</v>
      </c>
      <c r="AQ455" t="s">
        <v>74</v>
      </c>
      <c r="AR455" t="s">
        <v>3879</v>
      </c>
      <c r="AS455" t="s">
        <v>3880</v>
      </c>
      <c r="AT455" t="s">
        <v>6124</v>
      </c>
      <c r="AU455">
        <v>2003</v>
      </c>
      <c r="AV455">
        <v>33</v>
      </c>
      <c r="AW455">
        <v>6</v>
      </c>
      <c r="AX455" t="s">
        <v>74</v>
      </c>
      <c r="AY455" t="s">
        <v>74</v>
      </c>
      <c r="AZ455" t="s">
        <v>74</v>
      </c>
      <c r="BA455" t="s">
        <v>74</v>
      </c>
      <c r="BB455">
        <v>1182</v>
      </c>
      <c r="BC455">
        <v>1196</v>
      </c>
      <c r="BD455" t="s">
        <v>74</v>
      </c>
      <c r="BE455" t="s">
        <v>6784</v>
      </c>
      <c r="BF455" t="str">
        <f>HYPERLINK("http://dx.doi.org/10.1175/1520-0485(2003)033&lt;1182:FOOTSO&gt;2.0.CO;2","http://dx.doi.org/10.1175/1520-0485(2003)033&lt;1182:FOOTSO&gt;2.0.CO;2")</f>
        <v>http://dx.doi.org/10.1175/1520-0485(2003)033&lt;1182:FOOTSO&gt;2.0.CO;2</v>
      </c>
      <c r="BG455" t="s">
        <v>74</v>
      </c>
      <c r="BH455" t="s">
        <v>74</v>
      </c>
      <c r="BI455">
        <v>15</v>
      </c>
      <c r="BJ455" t="s">
        <v>678</v>
      </c>
      <c r="BK455" t="s">
        <v>94</v>
      </c>
      <c r="BL455" t="s">
        <v>678</v>
      </c>
      <c r="BM455" t="s">
        <v>6776</v>
      </c>
      <c r="BN455" t="s">
        <v>74</v>
      </c>
      <c r="BO455" t="s">
        <v>96</v>
      </c>
      <c r="BP455" t="s">
        <v>74</v>
      </c>
      <c r="BQ455" t="s">
        <v>74</v>
      </c>
      <c r="BR455" t="s">
        <v>97</v>
      </c>
      <c r="BS455" t="s">
        <v>6785</v>
      </c>
      <c r="BT455" t="str">
        <f>HYPERLINK("https%3A%2F%2Fwww.webofscience.com%2Fwos%2Fwoscc%2Ffull-record%2FWOS:000182963200003","View Full Record in Web of Science")</f>
        <v>View Full Record in Web of Science</v>
      </c>
    </row>
    <row r="456" spans="1:72" x14ac:dyDescent="0.15">
      <c r="A456" t="s">
        <v>72</v>
      </c>
      <c r="B456" t="s">
        <v>6786</v>
      </c>
      <c r="C456" t="s">
        <v>74</v>
      </c>
      <c r="D456" t="s">
        <v>74</v>
      </c>
      <c r="E456" t="s">
        <v>74</v>
      </c>
      <c r="F456" t="s">
        <v>6786</v>
      </c>
      <c r="G456" t="s">
        <v>74</v>
      </c>
      <c r="H456" t="s">
        <v>74</v>
      </c>
      <c r="I456" t="s">
        <v>6787</v>
      </c>
      <c r="J456" t="s">
        <v>3874</v>
      </c>
      <c r="K456" t="s">
        <v>74</v>
      </c>
      <c r="L456" t="s">
        <v>74</v>
      </c>
      <c r="M456" t="s">
        <v>77</v>
      </c>
      <c r="N456" t="s">
        <v>78</v>
      </c>
      <c r="O456" t="s">
        <v>74</v>
      </c>
      <c r="P456" t="s">
        <v>74</v>
      </c>
      <c r="Q456" t="s">
        <v>74</v>
      </c>
      <c r="R456" t="s">
        <v>74</v>
      </c>
      <c r="S456" t="s">
        <v>74</v>
      </c>
      <c r="T456" t="s">
        <v>74</v>
      </c>
      <c r="U456" t="s">
        <v>6788</v>
      </c>
      <c r="V456" t="s">
        <v>6789</v>
      </c>
      <c r="W456" t="s">
        <v>6790</v>
      </c>
      <c r="X456" t="s">
        <v>6791</v>
      </c>
      <c r="Y456" t="s">
        <v>6792</v>
      </c>
      <c r="Z456" t="s">
        <v>74</v>
      </c>
      <c r="AA456" t="s">
        <v>6793</v>
      </c>
      <c r="AB456" t="s">
        <v>74</v>
      </c>
      <c r="AC456" t="s">
        <v>74</v>
      </c>
      <c r="AD456" t="s">
        <v>74</v>
      </c>
      <c r="AE456" t="s">
        <v>74</v>
      </c>
      <c r="AF456" t="s">
        <v>74</v>
      </c>
      <c r="AG456">
        <v>32</v>
      </c>
      <c r="AH456">
        <v>20</v>
      </c>
      <c r="AI456">
        <v>20</v>
      </c>
      <c r="AJ456">
        <v>0</v>
      </c>
      <c r="AK456">
        <v>2</v>
      </c>
      <c r="AL456" t="s">
        <v>85</v>
      </c>
      <c r="AM456" t="s">
        <v>86</v>
      </c>
      <c r="AN456" t="s">
        <v>87</v>
      </c>
      <c r="AO456" t="s">
        <v>3878</v>
      </c>
      <c r="AP456" t="s">
        <v>74</v>
      </c>
      <c r="AQ456" t="s">
        <v>74</v>
      </c>
      <c r="AR456" t="s">
        <v>3879</v>
      </c>
      <c r="AS456" t="s">
        <v>3880</v>
      </c>
      <c r="AT456" t="s">
        <v>6124</v>
      </c>
      <c r="AU456">
        <v>2003</v>
      </c>
      <c r="AV456">
        <v>33</v>
      </c>
      <c r="AW456">
        <v>6</v>
      </c>
      <c r="AX456" t="s">
        <v>74</v>
      </c>
      <c r="AY456" t="s">
        <v>74</v>
      </c>
      <c r="AZ456" t="s">
        <v>74</v>
      </c>
      <c r="BA456" t="s">
        <v>74</v>
      </c>
      <c r="BB456">
        <v>1231</v>
      </c>
      <c r="BC456">
        <v>1239</v>
      </c>
      <c r="BD456" t="s">
        <v>74</v>
      </c>
      <c r="BE456" t="s">
        <v>6794</v>
      </c>
      <c r="BF456" t="str">
        <f>HYPERLINK("http://dx.doi.org/10.1175/1520-0485(2003)033&lt;1231:TNTRM&gt;2.0.CO;2","http://dx.doi.org/10.1175/1520-0485(2003)033&lt;1231:TNTRM&gt;2.0.CO;2")</f>
        <v>http://dx.doi.org/10.1175/1520-0485(2003)033&lt;1231:TNTRM&gt;2.0.CO;2</v>
      </c>
      <c r="BG456" t="s">
        <v>74</v>
      </c>
      <c r="BH456" t="s">
        <v>74</v>
      </c>
      <c r="BI456">
        <v>9</v>
      </c>
      <c r="BJ456" t="s">
        <v>678</v>
      </c>
      <c r="BK456" t="s">
        <v>94</v>
      </c>
      <c r="BL456" t="s">
        <v>678</v>
      </c>
      <c r="BM456" t="s">
        <v>6776</v>
      </c>
      <c r="BN456" t="s">
        <v>74</v>
      </c>
      <c r="BO456" t="s">
        <v>759</v>
      </c>
      <c r="BP456" t="s">
        <v>74</v>
      </c>
      <c r="BQ456" t="s">
        <v>74</v>
      </c>
      <c r="BR456" t="s">
        <v>97</v>
      </c>
      <c r="BS456" t="s">
        <v>6795</v>
      </c>
      <c r="BT456" t="str">
        <f>HYPERLINK("https%3A%2F%2Fwww.webofscience.com%2Fwos%2Fwoscc%2Ffull-record%2FWOS:000182963200006","View Full Record in Web of Science")</f>
        <v>View Full Record in Web of Science</v>
      </c>
    </row>
    <row r="457" spans="1:72" x14ac:dyDescent="0.15">
      <c r="A457" t="s">
        <v>72</v>
      </c>
      <c r="B457" t="s">
        <v>6796</v>
      </c>
      <c r="C457" t="s">
        <v>74</v>
      </c>
      <c r="D457" t="s">
        <v>74</v>
      </c>
      <c r="E457" t="s">
        <v>74</v>
      </c>
      <c r="F457" t="s">
        <v>6796</v>
      </c>
      <c r="G457" t="s">
        <v>74</v>
      </c>
      <c r="H457" t="s">
        <v>74</v>
      </c>
      <c r="I457" t="s">
        <v>6797</v>
      </c>
      <c r="J457" t="s">
        <v>182</v>
      </c>
      <c r="K457" t="s">
        <v>74</v>
      </c>
      <c r="L457" t="s">
        <v>74</v>
      </c>
      <c r="M457" t="s">
        <v>77</v>
      </c>
      <c r="N457" t="s">
        <v>78</v>
      </c>
      <c r="O457" t="s">
        <v>74</v>
      </c>
      <c r="P457" t="s">
        <v>74</v>
      </c>
      <c r="Q457" t="s">
        <v>74</v>
      </c>
      <c r="R457" t="s">
        <v>74</v>
      </c>
      <c r="S457" t="s">
        <v>74</v>
      </c>
      <c r="T457" t="s">
        <v>74</v>
      </c>
      <c r="U457" t="s">
        <v>6798</v>
      </c>
      <c r="V457" t="s">
        <v>6799</v>
      </c>
      <c r="W457" t="s">
        <v>6800</v>
      </c>
      <c r="X457" t="s">
        <v>6801</v>
      </c>
      <c r="Y457" t="s">
        <v>6802</v>
      </c>
      <c r="Z457" t="s">
        <v>74</v>
      </c>
      <c r="AA457" t="s">
        <v>6803</v>
      </c>
      <c r="AB457" t="s">
        <v>6804</v>
      </c>
      <c r="AC457" t="s">
        <v>74</v>
      </c>
      <c r="AD457" t="s">
        <v>74</v>
      </c>
      <c r="AE457" t="s">
        <v>74</v>
      </c>
      <c r="AF457" t="s">
        <v>74</v>
      </c>
      <c r="AG457">
        <v>41</v>
      </c>
      <c r="AH457">
        <v>28</v>
      </c>
      <c r="AI457">
        <v>31</v>
      </c>
      <c r="AJ457">
        <v>0</v>
      </c>
      <c r="AK457">
        <v>16</v>
      </c>
      <c r="AL457" t="s">
        <v>188</v>
      </c>
      <c r="AM457" t="s">
        <v>170</v>
      </c>
      <c r="AN457" t="s">
        <v>189</v>
      </c>
      <c r="AO457" t="s">
        <v>190</v>
      </c>
      <c r="AP457" t="s">
        <v>74</v>
      </c>
      <c r="AQ457" t="s">
        <v>74</v>
      </c>
      <c r="AR457" t="s">
        <v>191</v>
      </c>
      <c r="AS457" t="s">
        <v>192</v>
      </c>
      <c r="AT457" t="s">
        <v>6124</v>
      </c>
      <c r="AU457">
        <v>2003</v>
      </c>
      <c r="AV457">
        <v>25</v>
      </c>
      <c r="AW457">
        <v>6</v>
      </c>
      <c r="AX457" t="s">
        <v>74</v>
      </c>
      <c r="AY457" t="s">
        <v>74</v>
      </c>
      <c r="AZ457" t="s">
        <v>74</v>
      </c>
      <c r="BA457" t="s">
        <v>74</v>
      </c>
      <c r="BB457">
        <v>621</v>
      </c>
      <c r="BC457">
        <v>631</v>
      </c>
      <c r="BD457" t="s">
        <v>74</v>
      </c>
      <c r="BE457" t="s">
        <v>6805</v>
      </c>
      <c r="BF457" t="str">
        <f>HYPERLINK("http://dx.doi.org/10.1093/plankt/25.6.621","http://dx.doi.org/10.1093/plankt/25.6.621")</f>
        <v>http://dx.doi.org/10.1093/plankt/25.6.621</v>
      </c>
      <c r="BG457" t="s">
        <v>74</v>
      </c>
      <c r="BH457" t="s">
        <v>74</v>
      </c>
      <c r="BI457">
        <v>11</v>
      </c>
      <c r="BJ457" t="s">
        <v>194</v>
      </c>
      <c r="BK457" t="s">
        <v>94</v>
      </c>
      <c r="BL457" t="s">
        <v>194</v>
      </c>
      <c r="BM457" t="s">
        <v>6806</v>
      </c>
      <c r="BN457" t="s">
        <v>74</v>
      </c>
      <c r="BO457" t="s">
        <v>96</v>
      </c>
      <c r="BP457" t="s">
        <v>74</v>
      </c>
      <c r="BQ457" t="s">
        <v>74</v>
      </c>
      <c r="BR457" t="s">
        <v>97</v>
      </c>
      <c r="BS457" t="s">
        <v>6807</v>
      </c>
      <c r="BT457" t="str">
        <f>HYPERLINK("https%3A%2F%2Fwww.webofscience.com%2Fwos%2Fwoscc%2Ffull-record%2FWOS:000183553300004","View Full Record in Web of Science")</f>
        <v>View Full Record in Web of Science</v>
      </c>
    </row>
    <row r="458" spans="1:72" x14ac:dyDescent="0.15">
      <c r="A458" t="s">
        <v>72</v>
      </c>
      <c r="B458" t="s">
        <v>6808</v>
      </c>
      <c r="C458" t="s">
        <v>74</v>
      </c>
      <c r="D458" t="s">
        <v>74</v>
      </c>
      <c r="E458" t="s">
        <v>74</v>
      </c>
      <c r="F458" t="s">
        <v>6808</v>
      </c>
      <c r="G458" t="s">
        <v>74</v>
      </c>
      <c r="H458" t="s">
        <v>74</v>
      </c>
      <c r="I458" t="s">
        <v>6809</v>
      </c>
      <c r="J458" t="s">
        <v>3897</v>
      </c>
      <c r="K458" t="s">
        <v>74</v>
      </c>
      <c r="L458" t="s">
        <v>74</v>
      </c>
      <c r="M458" t="s">
        <v>77</v>
      </c>
      <c r="N458" t="s">
        <v>78</v>
      </c>
      <c r="O458" t="s">
        <v>74</v>
      </c>
      <c r="P458" t="s">
        <v>74</v>
      </c>
      <c r="Q458" t="s">
        <v>74</v>
      </c>
      <c r="R458" t="s">
        <v>74</v>
      </c>
      <c r="S458" t="s">
        <v>74</v>
      </c>
      <c r="T458" t="s">
        <v>6810</v>
      </c>
      <c r="U458" t="s">
        <v>6811</v>
      </c>
      <c r="V458" t="s">
        <v>6812</v>
      </c>
      <c r="W458" t="s">
        <v>6813</v>
      </c>
      <c r="X458" t="s">
        <v>6814</v>
      </c>
      <c r="Y458" t="s">
        <v>6815</v>
      </c>
      <c r="Z458" t="s">
        <v>74</v>
      </c>
      <c r="AA458" t="s">
        <v>6816</v>
      </c>
      <c r="AB458" t="s">
        <v>6817</v>
      </c>
      <c r="AC458" t="s">
        <v>74</v>
      </c>
      <c r="AD458" t="s">
        <v>74</v>
      </c>
      <c r="AE458" t="s">
        <v>74</v>
      </c>
      <c r="AF458" t="s">
        <v>74</v>
      </c>
      <c r="AG458">
        <v>32</v>
      </c>
      <c r="AH458">
        <v>15</v>
      </c>
      <c r="AI458">
        <v>16</v>
      </c>
      <c r="AJ458">
        <v>1</v>
      </c>
      <c r="AK458">
        <v>2</v>
      </c>
      <c r="AL458" t="s">
        <v>169</v>
      </c>
      <c r="AM458" t="s">
        <v>170</v>
      </c>
      <c r="AN458" t="s">
        <v>171</v>
      </c>
      <c r="AO458" t="s">
        <v>3906</v>
      </c>
      <c r="AP458" t="s">
        <v>74</v>
      </c>
      <c r="AQ458" t="s">
        <v>74</v>
      </c>
      <c r="AR458" t="s">
        <v>3907</v>
      </c>
      <c r="AS458" t="s">
        <v>3908</v>
      </c>
      <c r="AT458" t="s">
        <v>6124</v>
      </c>
      <c r="AU458">
        <v>2003</v>
      </c>
      <c r="AV458">
        <v>16</v>
      </c>
      <c r="AW458">
        <v>2</v>
      </c>
      <c r="AX458" t="s">
        <v>74</v>
      </c>
      <c r="AY458" t="s">
        <v>74</v>
      </c>
      <c r="AZ458" t="s">
        <v>74</v>
      </c>
      <c r="BA458" t="s">
        <v>74</v>
      </c>
      <c r="BB458">
        <v>155</v>
      </c>
      <c r="BC458">
        <v>161</v>
      </c>
      <c r="BD458" t="s">
        <v>74</v>
      </c>
      <c r="BE458" t="s">
        <v>6818</v>
      </c>
      <c r="BF458" t="str">
        <f>HYPERLINK("http://dx.doi.org/10.1016/S0895-9811(03)00026-9","http://dx.doi.org/10.1016/S0895-9811(03)00026-9")</f>
        <v>http://dx.doi.org/10.1016/S0895-9811(03)00026-9</v>
      </c>
      <c r="BG458" t="s">
        <v>74</v>
      </c>
      <c r="BH458" t="s">
        <v>74</v>
      </c>
      <c r="BI458">
        <v>7</v>
      </c>
      <c r="BJ458" t="s">
        <v>548</v>
      </c>
      <c r="BK458" t="s">
        <v>94</v>
      </c>
      <c r="BL458" t="s">
        <v>549</v>
      </c>
      <c r="BM458" t="s">
        <v>6819</v>
      </c>
      <c r="BN458" t="s">
        <v>74</v>
      </c>
      <c r="BO458" t="s">
        <v>74</v>
      </c>
      <c r="BP458" t="s">
        <v>74</v>
      </c>
      <c r="BQ458" t="s">
        <v>74</v>
      </c>
      <c r="BR458" t="s">
        <v>97</v>
      </c>
      <c r="BS458" t="s">
        <v>6820</v>
      </c>
      <c r="BT458" t="str">
        <f>HYPERLINK("https%3A%2F%2Fwww.webofscience.com%2Fwos%2Fwoscc%2Ffull-record%2FWOS:000184480100003","View Full Record in Web of Science")</f>
        <v>View Full Record in Web of Science</v>
      </c>
    </row>
    <row r="459" spans="1:72" x14ac:dyDescent="0.15">
      <c r="A459" t="s">
        <v>72</v>
      </c>
      <c r="B459" t="s">
        <v>6821</v>
      </c>
      <c r="C459" t="s">
        <v>74</v>
      </c>
      <c r="D459" t="s">
        <v>74</v>
      </c>
      <c r="E459" t="s">
        <v>74</v>
      </c>
      <c r="F459" t="s">
        <v>6821</v>
      </c>
      <c r="G459" t="s">
        <v>74</v>
      </c>
      <c r="H459" t="s">
        <v>74</v>
      </c>
      <c r="I459" t="s">
        <v>6822</v>
      </c>
      <c r="J459" t="s">
        <v>221</v>
      </c>
      <c r="K459" t="s">
        <v>74</v>
      </c>
      <c r="L459" t="s">
        <v>74</v>
      </c>
      <c r="M459" t="s">
        <v>77</v>
      </c>
      <c r="N459" t="s">
        <v>78</v>
      </c>
      <c r="O459" t="s">
        <v>74</v>
      </c>
      <c r="P459" t="s">
        <v>74</v>
      </c>
      <c r="Q459" t="s">
        <v>74</v>
      </c>
      <c r="R459" t="s">
        <v>74</v>
      </c>
      <c r="S459" t="s">
        <v>74</v>
      </c>
      <c r="T459" t="s">
        <v>74</v>
      </c>
      <c r="U459" t="s">
        <v>6823</v>
      </c>
      <c r="V459" t="s">
        <v>6824</v>
      </c>
      <c r="W459" t="s">
        <v>6825</v>
      </c>
      <c r="X459" t="s">
        <v>6826</v>
      </c>
      <c r="Y459" t="s">
        <v>6827</v>
      </c>
      <c r="Z459" t="s">
        <v>74</v>
      </c>
      <c r="AA459" t="s">
        <v>74</v>
      </c>
      <c r="AB459" t="s">
        <v>74</v>
      </c>
      <c r="AC459" t="s">
        <v>74</v>
      </c>
      <c r="AD459" t="s">
        <v>74</v>
      </c>
      <c r="AE459" t="s">
        <v>74</v>
      </c>
      <c r="AF459" t="s">
        <v>74</v>
      </c>
      <c r="AG459">
        <v>16</v>
      </c>
      <c r="AH459">
        <v>5</v>
      </c>
      <c r="AI459">
        <v>5</v>
      </c>
      <c r="AJ459">
        <v>0</v>
      </c>
      <c r="AK459">
        <v>6</v>
      </c>
      <c r="AL459" t="s">
        <v>228</v>
      </c>
      <c r="AM459" t="s">
        <v>229</v>
      </c>
      <c r="AN459" t="s">
        <v>1129</v>
      </c>
      <c r="AO459" t="s">
        <v>231</v>
      </c>
      <c r="AP459" t="s">
        <v>74</v>
      </c>
      <c r="AQ459" t="s">
        <v>74</v>
      </c>
      <c r="AR459" t="s">
        <v>232</v>
      </c>
      <c r="AS459" t="s">
        <v>233</v>
      </c>
      <c r="AT459" t="s">
        <v>6124</v>
      </c>
      <c r="AU459">
        <v>2003</v>
      </c>
      <c r="AV459">
        <v>83</v>
      </c>
      <c r="AW459">
        <v>3</v>
      </c>
      <c r="AX459" t="s">
        <v>74</v>
      </c>
      <c r="AY459" t="s">
        <v>74</v>
      </c>
      <c r="AZ459" t="s">
        <v>74</v>
      </c>
      <c r="BA459" t="s">
        <v>74</v>
      </c>
      <c r="BB459">
        <v>501</v>
      </c>
      <c r="BC459">
        <v>505</v>
      </c>
      <c r="BD459" t="s">
        <v>74</v>
      </c>
      <c r="BE459" t="s">
        <v>6828</v>
      </c>
      <c r="BF459" t="str">
        <f>HYPERLINK("http://dx.doi.org/10.1017/S0025315403007422h","http://dx.doi.org/10.1017/S0025315403007422h")</f>
        <v>http://dx.doi.org/10.1017/S0025315403007422h</v>
      </c>
      <c r="BG459" t="s">
        <v>74</v>
      </c>
      <c r="BH459" t="s">
        <v>74</v>
      </c>
      <c r="BI459">
        <v>5</v>
      </c>
      <c r="BJ459" t="s">
        <v>235</v>
      </c>
      <c r="BK459" t="s">
        <v>94</v>
      </c>
      <c r="BL459" t="s">
        <v>235</v>
      </c>
      <c r="BM459" t="s">
        <v>6829</v>
      </c>
      <c r="BN459" t="s">
        <v>74</v>
      </c>
      <c r="BO459" t="s">
        <v>74</v>
      </c>
      <c r="BP459" t="s">
        <v>74</v>
      </c>
      <c r="BQ459" t="s">
        <v>74</v>
      </c>
      <c r="BR459" t="s">
        <v>97</v>
      </c>
      <c r="BS459" t="s">
        <v>6830</v>
      </c>
      <c r="BT459" t="str">
        <f>HYPERLINK("https%3A%2F%2Fwww.webofscience.com%2Fwos%2Fwoscc%2Ffull-record%2FWOS:000182915100014","View Full Record in Web of Science")</f>
        <v>View Full Record in Web of Science</v>
      </c>
    </row>
    <row r="460" spans="1:72" x14ac:dyDescent="0.15">
      <c r="A460" t="s">
        <v>72</v>
      </c>
      <c r="B460" t="s">
        <v>5627</v>
      </c>
      <c r="C460" t="s">
        <v>74</v>
      </c>
      <c r="D460" t="s">
        <v>74</v>
      </c>
      <c r="E460" t="s">
        <v>74</v>
      </c>
      <c r="F460" t="s">
        <v>5627</v>
      </c>
      <c r="G460" t="s">
        <v>74</v>
      </c>
      <c r="H460" t="s">
        <v>74</v>
      </c>
      <c r="I460" t="s">
        <v>6831</v>
      </c>
      <c r="J460" t="s">
        <v>221</v>
      </c>
      <c r="K460" t="s">
        <v>74</v>
      </c>
      <c r="L460" t="s">
        <v>74</v>
      </c>
      <c r="M460" t="s">
        <v>77</v>
      </c>
      <c r="N460" t="s">
        <v>78</v>
      </c>
      <c r="O460" t="s">
        <v>74</v>
      </c>
      <c r="P460" t="s">
        <v>74</v>
      </c>
      <c r="Q460" t="s">
        <v>74</v>
      </c>
      <c r="R460" t="s">
        <v>74</v>
      </c>
      <c r="S460" t="s">
        <v>74</v>
      </c>
      <c r="T460" t="s">
        <v>74</v>
      </c>
      <c r="U460" t="s">
        <v>6832</v>
      </c>
      <c r="V460" t="s">
        <v>6833</v>
      </c>
      <c r="W460" t="s">
        <v>6834</v>
      </c>
      <c r="X460" t="s">
        <v>6835</v>
      </c>
      <c r="Y460" t="s">
        <v>5633</v>
      </c>
      <c r="Z460" t="s">
        <v>74</v>
      </c>
      <c r="AA460" t="s">
        <v>5634</v>
      </c>
      <c r="AB460" t="s">
        <v>74</v>
      </c>
      <c r="AC460" t="s">
        <v>74</v>
      </c>
      <c r="AD460" t="s">
        <v>74</v>
      </c>
      <c r="AE460" t="s">
        <v>74</v>
      </c>
      <c r="AF460" t="s">
        <v>74</v>
      </c>
      <c r="AG460">
        <v>56</v>
      </c>
      <c r="AH460">
        <v>41</v>
      </c>
      <c r="AI460">
        <v>46</v>
      </c>
      <c r="AJ460">
        <v>0</v>
      </c>
      <c r="AK460">
        <v>15</v>
      </c>
      <c r="AL460" t="s">
        <v>228</v>
      </c>
      <c r="AM460" t="s">
        <v>229</v>
      </c>
      <c r="AN460" t="s">
        <v>1129</v>
      </c>
      <c r="AO460" t="s">
        <v>231</v>
      </c>
      <c r="AP460" t="s">
        <v>74</v>
      </c>
      <c r="AQ460" t="s">
        <v>74</v>
      </c>
      <c r="AR460" t="s">
        <v>232</v>
      </c>
      <c r="AS460" t="s">
        <v>233</v>
      </c>
      <c r="AT460" t="s">
        <v>6124</v>
      </c>
      <c r="AU460">
        <v>2003</v>
      </c>
      <c r="AV460">
        <v>83</v>
      </c>
      <c r="AW460">
        <v>3</v>
      </c>
      <c r="AX460" t="s">
        <v>74</v>
      </c>
      <c r="AY460" t="s">
        <v>74</v>
      </c>
      <c r="AZ460" t="s">
        <v>74</v>
      </c>
      <c r="BA460" t="s">
        <v>74</v>
      </c>
      <c r="BB460">
        <v>523</v>
      </c>
      <c r="BC460">
        <v>534</v>
      </c>
      <c r="BD460" t="s">
        <v>74</v>
      </c>
      <c r="BE460" t="s">
        <v>6836</v>
      </c>
      <c r="BF460" t="str">
        <f>HYPERLINK("http://dx.doi.org/10.1017/S0025315403007446h","http://dx.doi.org/10.1017/S0025315403007446h")</f>
        <v>http://dx.doi.org/10.1017/S0025315403007446h</v>
      </c>
      <c r="BG460" t="s">
        <v>74</v>
      </c>
      <c r="BH460" t="s">
        <v>74</v>
      </c>
      <c r="BI460">
        <v>12</v>
      </c>
      <c r="BJ460" t="s">
        <v>235</v>
      </c>
      <c r="BK460" t="s">
        <v>94</v>
      </c>
      <c r="BL460" t="s">
        <v>235</v>
      </c>
      <c r="BM460" t="s">
        <v>6829</v>
      </c>
      <c r="BN460" t="s">
        <v>74</v>
      </c>
      <c r="BO460" t="s">
        <v>74</v>
      </c>
      <c r="BP460" t="s">
        <v>74</v>
      </c>
      <c r="BQ460" t="s">
        <v>74</v>
      </c>
      <c r="BR460" t="s">
        <v>97</v>
      </c>
      <c r="BS460" t="s">
        <v>6837</v>
      </c>
      <c r="BT460" t="str">
        <f>HYPERLINK("https%3A%2F%2Fwww.webofscience.com%2Fwos%2Fwoscc%2Ffull-record%2FWOS:000182915100016","View Full Record in Web of Science")</f>
        <v>View Full Record in Web of Science</v>
      </c>
    </row>
    <row r="461" spans="1:72" x14ac:dyDescent="0.15">
      <c r="A461" t="s">
        <v>72</v>
      </c>
      <c r="B461" t="s">
        <v>6838</v>
      </c>
      <c r="C461" t="s">
        <v>74</v>
      </c>
      <c r="D461" t="s">
        <v>74</v>
      </c>
      <c r="E461" t="s">
        <v>74</v>
      </c>
      <c r="F461" t="s">
        <v>6838</v>
      </c>
      <c r="G461" t="s">
        <v>74</v>
      </c>
      <c r="H461" t="s">
        <v>74</v>
      </c>
      <c r="I461" t="s">
        <v>6839</v>
      </c>
      <c r="J461" t="s">
        <v>221</v>
      </c>
      <c r="K461" t="s">
        <v>74</v>
      </c>
      <c r="L461" t="s">
        <v>74</v>
      </c>
      <c r="M461" t="s">
        <v>77</v>
      </c>
      <c r="N461" t="s">
        <v>78</v>
      </c>
      <c r="O461" t="s">
        <v>74</v>
      </c>
      <c r="P461" t="s">
        <v>74</v>
      </c>
      <c r="Q461" t="s">
        <v>74</v>
      </c>
      <c r="R461" t="s">
        <v>74</v>
      </c>
      <c r="S461" t="s">
        <v>74</v>
      </c>
      <c r="T461" t="s">
        <v>74</v>
      </c>
      <c r="U461" t="s">
        <v>6840</v>
      </c>
      <c r="V461" t="s">
        <v>6841</v>
      </c>
      <c r="W461" t="s">
        <v>6842</v>
      </c>
      <c r="X461" t="s">
        <v>6843</v>
      </c>
      <c r="Y461" t="s">
        <v>6844</v>
      </c>
      <c r="Z461" t="s">
        <v>74</v>
      </c>
      <c r="AA461" t="s">
        <v>6845</v>
      </c>
      <c r="AB461" t="s">
        <v>6846</v>
      </c>
      <c r="AC461" t="s">
        <v>74</v>
      </c>
      <c r="AD461" t="s">
        <v>74</v>
      </c>
      <c r="AE461" t="s">
        <v>74</v>
      </c>
      <c r="AF461" t="s">
        <v>74</v>
      </c>
      <c r="AG461">
        <v>31</v>
      </c>
      <c r="AH461">
        <v>33</v>
      </c>
      <c r="AI461">
        <v>36</v>
      </c>
      <c r="AJ461">
        <v>1</v>
      </c>
      <c r="AK461">
        <v>11</v>
      </c>
      <c r="AL461" t="s">
        <v>228</v>
      </c>
      <c r="AM461" t="s">
        <v>229</v>
      </c>
      <c r="AN461" t="s">
        <v>1129</v>
      </c>
      <c r="AO461" t="s">
        <v>231</v>
      </c>
      <c r="AP461" t="s">
        <v>74</v>
      </c>
      <c r="AQ461" t="s">
        <v>74</v>
      </c>
      <c r="AR461" t="s">
        <v>232</v>
      </c>
      <c r="AS461" t="s">
        <v>233</v>
      </c>
      <c r="AT461" t="s">
        <v>6124</v>
      </c>
      <c r="AU461">
        <v>2003</v>
      </c>
      <c r="AV461">
        <v>83</v>
      </c>
      <c r="AW461">
        <v>3</v>
      </c>
      <c r="AX461" t="s">
        <v>74</v>
      </c>
      <c r="AY461" t="s">
        <v>74</v>
      </c>
      <c r="AZ461" t="s">
        <v>74</v>
      </c>
      <c r="BA461" t="s">
        <v>74</v>
      </c>
      <c r="BB461">
        <v>583</v>
      </c>
      <c r="BC461">
        <v>592</v>
      </c>
      <c r="BD461" t="s">
        <v>74</v>
      </c>
      <c r="BE461" t="s">
        <v>6847</v>
      </c>
      <c r="BF461" t="str">
        <f>HYPERLINK("http://dx.doi.org/10.1017/S0025315403007513h","http://dx.doi.org/10.1017/S0025315403007513h")</f>
        <v>http://dx.doi.org/10.1017/S0025315403007513h</v>
      </c>
      <c r="BG461" t="s">
        <v>74</v>
      </c>
      <c r="BH461" t="s">
        <v>74</v>
      </c>
      <c r="BI461">
        <v>10</v>
      </c>
      <c r="BJ461" t="s">
        <v>235</v>
      </c>
      <c r="BK461" t="s">
        <v>94</v>
      </c>
      <c r="BL461" t="s">
        <v>235</v>
      </c>
      <c r="BM461" t="s">
        <v>6829</v>
      </c>
      <c r="BN461" t="s">
        <v>74</v>
      </c>
      <c r="BO461" t="s">
        <v>74</v>
      </c>
      <c r="BP461" t="s">
        <v>74</v>
      </c>
      <c r="BQ461" t="s">
        <v>74</v>
      </c>
      <c r="BR461" t="s">
        <v>97</v>
      </c>
      <c r="BS461" t="s">
        <v>6848</v>
      </c>
      <c r="BT461" t="str">
        <f>HYPERLINK("https%3A%2F%2Fwww.webofscience.com%2Fwos%2Fwoscc%2Ffull-record%2FWOS:000182915100023","View Full Record in Web of Science")</f>
        <v>View Full Record in Web of Science</v>
      </c>
    </row>
    <row r="462" spans="1:72" x14ac:dyDescent="0.15">
      <c r="A462" t="s">
        <v>72</v>
      </c>
      <c r="B462" t="s">
        <v>6849</v>
      </c>
      <c r="C462" t="s">
        <v>74</v>
      </c>
      <c r="D462" t="s">
        <v>74</v>
      </c>
      <c r="E462" t="s">
        <v>74</v>
      </c>
      <c r="F462" t="s">
        <v>6849</v>
      </c>
      <c r="G462" t="s">
        <v>74</v>
      </c>
      <c r="H462" t="s">
        <v>74</v>
      </c>
      <c r="I462" t="s">
        <v>6850</v>
      </c>
      <c r="J462" t="s">
        <v>221</v>
      </c>
      <c r="K462" t="s">
        <v>74</v>
      </c>
      <c r="L462" t="s">
        <v>74</v>
      </c>
      <c r="M462" t="s">
        <v>77</v>
      </c>
      <c r="N462" t="s">
        <v>78</v>
      </c>
      <c r="O462" t="s">
        <v>74</v>
      </c>
      <c r="P462" t="s">
        <v>74</v>
      </c>
      <c r="Q462" t="s">
        <v>74</v>
      </c>
      <c r="R462" t="s">
        <v>74</v>
      </c>
      <c r="S462" t="s">
        <v>74</v>
      </c>
      <c r="T462" t="s">
        <v>74</v>
      </c>
      <c r="U462" t="s">
        <v>6851</v>
      </c>
      <c r="V462" t="s">
        <v>6852</v>
      </c>
      <c r="W462" t="s">
        <v>6853</v>
      </c>
      <c r="X462" t="s">
        <v>6854</v>
      </c>
      <c r="Y462" t="s">
        <v>6855</v>
      </c>
      <c r="Z462" t="s">
        <v>74</v>
      </c>
      <c r="AA462" t="s">
        <v>74</v>
      </c>
      <c r="AB462" t="s">
        <v>74</v>
      </c>
      <c r="AC462" t="s">
        <v>74</v>
      </c>
      <c r="AD462" t="s">
        <v>74</v>
      </c>
      <c r="AE462" t="s">
        <v>74</v>
      </c>
      <c r="AF462" t="s">
        <v>74</v>
      </c>
      <c r="AG462">
        <v>20</v>
      </c>
      <c r="AH462">
        <v>46</v>
      </c>
      <c r="AI462">
        <v>49</v>
      </c>
      <c r="AJ462">
        <v>2</v>
      </c>
      <c r="AK462">
        <v>21</v>
      </c>
      <c r="AL462" t="s">
        <v>228</v>
      </c>
      <c r="AM462" t="s">
        <v>229</v>
      </c>
      <c r="AN462" t="s">
        <v>1129</v>
      </c>
      <c r="AO462" t="s">
        <v>231</v>
      </c>
      <c r="AP462" t="s">
        <v>74</v>
      </c>
      <c r="AQ462" t="s">
        <v>74</v>
      </c>
      <c r="AR462" t="s">
        <v>232</v>
      </c>
      <c r="AS462" t="s">
        <v>233</v>
      </c>
      <c r="AT462" t="s">
        <v>6124</v>
      </c>
      <c r="AU462">
        <v>2003</v>
      </c>
      <c r="AV462">
        <v>83</v>
      </c>
      <c r="AW462">
        <v>3</v>
      </c>
      <c r="AX462" t="s">
        <v>74</v>
      </c>
      <c r="AY462" t="s">
        <v>74</v>
      </c>
      <c r="AZ462" t="s">
        <v>74</v>
      </c>
      <c r="BA462" t="s">
        <v>74</v>
      </c>
      <c r="BB462">
        <v>639</v>
      </c>
      <c r="BC462">
        <v>642</v>
      </c>
      <c r="BD462" t="s">
        <v>74</v>
      </c>
      <c r="BE462" t="s">
        <v>6856</v>
      </c>
      <c r="BF462" t="str">
        <f>HYPERLINK("http://dx.doi.org/10.1017/S0025315403007586h","http://dx.doi.org/10.1017/S0025315403007586h")</f>
        <v>http://dx.doi.org/10.1017/S0025315403007586h</v>
      </c>
      <c r="BG462" t="s">
        <v>74</v>
      </c>
      <c r="BH462" t="s">
        <v>74</v>
      </c>
      <c r="BI462">
        <v>4</v>
      </c>
      <c r="BJ462" t="s">
        <v>235</v>
      </c>
      <c r="BK462" t="s">
        <v>94</v>
      </c>
      <c r="BL462" t="s">
        <v>235</v>
      </c>
      <c r="BM462" t="s">
        <v>6829</v>
      </c>
      <c r="BN462" t="s">
        <v>74</v>
      </c>
      <c r="BO462" t="s">
        <v>74</v>
      </c>
      <c r="BP462" t="s">
        <v>74</v>
      </c>
      <c r="BQ462" t="s">
        <v>74</v>
      </c>
      <c r="BR462" t="s">
        <v>97</v>
      </c>
      <c r="BS462" t="s">
        <v>6857</v>
      </c>
      <c r="BT462" t="str">
        <f>HYPERLINK("https%3A%2F%2Fwww.webofscience.com%2Fwos%2Fwoscc%2Ffull-record%2FWOS:000182915100030","View Full Record in Web of Science")</f>
        <v>View Full Record in Web of Science</v>
      </c>
    </row>
    <row r="463" spans="1:72" x14ac:dyDescent="0.15">
      <c r="A463" t="s">
        <v>72</v>
      </c>
      <c r="B463" t="s">
        <v>6858</v>
      </c>
      <c r="C463" t="s">
        <v>74</v>
      </c>
      <c r="D463" t="s">
        <v>74</v>
      </c>
      <c r="E463" t="s">
        <v>74</v>
      </c>
      <c r="F463" t="s">
        <v>6858</v>
      </c>
      <c r="G463" t="s">
        <v>74</v>
      </c>
      <c r="H463" t="s">
        <v>74</v>
      </c>
      <c r="I463" t="s">
        <v>6859</v>
      </c>
      <c r="J463" t="s">
        <v>6860</v>
      </c>
      <c r="K463" t="s">
        <v>74</v>
      </c>
      <c r="L463" t="s">
        <v>74</v>
      </c>
      <c r="M463" t="s">
        <v>77</v>
      </c>
      <c r="N463" t="s">
        <v>78</v>
      </c>
      <c r="O463" t="s">
        <v>74</v>
      </c>
      <c r="P463" t="s">
        <v>74</v>
      </c>
      <c r="Q463" t="s">
        <v>74</v>
      </c>
      <c r="R463" t="s">
        <v>74</v>
      </c>
      <c r="S463" t="s">
        <v>74</v>
      </c>
      <c r="T463" t="s">
        <v>74</v>
      </c>
      <c r="U463" t="s">
        <v>6861</v>
      </c>
      <c r="V463" t="s">
        <v>6862</v>
      </c>
      <c r="W463" t="s">
        <v>6863</v>
      </c>
      <c r="X463" t="s">
        <v>82</v>
      </c>
      <c r="Y463" t="s">
        <v>6864</v>
      </c>
      <c r="Z463" t="s">
        <v>74</v>
      </c>
      <c r="AA463" t="s">
        <v>74</v>
      </c>
      <c r="AB463" t="s">
        <v>74</v>
      </c>
      <c r="AC463" t="s">
        <v>74</v>
      </c>
      <c r="AD463" t="s">
        <v>74</v>
      </c>
      <c r="AE463" t="s">
        <v>74</v>
      </c>
      <c r="AF463" t="s">
        <v>74</v>
      </c>
      <c r="AG463">
        <v>24</v>
      </c>
      <c r="AH463">
        <v>77</v>
      </c>
      <c r="AI463">
        <v>89</v>
      </c>
      <c r="AJ463">
        <v>2</v>
      </c>
      <c r="AK463">
        <v>16</v>
      </c>
      <c r="AL463" t="s">
        <v>6865</v>
      </c>
      <c r="AM463" t="s">
        <v>6866</v>
      </c>
      <c r="AN463" t="s">
        <v>6867</v>
      </c>
      <c r="AO463" t="s">
        <v>6868</v>
      </c>
      <c r="AP463" t="s">
        <v>6869</v>
      </c>
      <c r="AQ463" t="s">
        <v>74</v>
      </c>
      <c r="AR463" t="s">
        <v>6870</v>
      </c>
      <c r="AS463" t="s">
        <v>6871</v>
      </c>
      <c r="AT463" t="s">
        <v>6872</v>
      </c>
      <c r="AU463">
        <v>2003</v>
      </c>
      <c r="AV463">
        <v>37</v>
      </c>
      <c r="AW463">
        <v>2</v>
      </c>
      <c r="AX463" t="s">
        <v>74</v>
      </c>
      <c r="AY463" t="s">
        <v>74</v>
      </c>
      <c r="AZ463" t="s">
        <v>74</v>
      </c>
      <c r="BA463" t="s">
        <v>74</v>
      </c>
      <c r="BB463">
        <v>13</v>
      </c>
      <c r="BC463">
        <v>22</v>
      </c>
      <c r="BD463" t="s">
        <v>74</v>
      </c>
      <c r="BE463" t="s">
        <v>6873</v>
      </c>
      <c r="BF463" t="str">
        <f>HYPERLINK("http://dx.doi.org/10.4031/002533203787537375","http://dx.doi.org/10.4031/002533203787537375")</f>
        <v>http://dx.doi.org/10.4031/002533203787537375</v>
      </c>
      <c r="BG463" t="s">
        <v>74</v>
      </c>
      <c r="BH463" t="s">
        <v>74</v>
      </c>
      <c r="BI463">
        <v>10</v>
      </c>
      <c r="BJ463" t="s">
        <v>6874</v>
      </c>
      <c r="BK463" t="s">
        <v>94</v>
      </c>
      <c r="BL463" t="s">
        <v>6875</v>
      </c>
      <c r="BM463" t="s">
        <v>6876</v>
      </c>
      <c r="BN463" t="s">
        <v>74</v>
      </c>
      <c r="BO463" t="s">
        <v>759</v>
      </c>
      <c r="BP463" t="s">
        <v>74</v>
      </c>
      <c r="BQ463" t="s">
        <v>74</v>
      </c>
      <c r="BR463" t="s">
        <v>97</v>
      </c>
      <c r="BS463" t="s">
        <v>6877</v>
      </c>
      <c r="BT463" t="str">
        <f>HYPERLINK("https%3A%2F%2Fwww.webofscience.com%2Fwos%2Fwoscc%2Ffull-record%2FWOS:000185196900002","View Full Record in Web of Science")</f>
        <v>View Full Record in Web of Science</v>
      </c>
    </row>
    <row r="464" spans="1:72" x14ac:dyDescent="0.15">
      <c r="A464" t="s">
        <v>72</v>
      </c>
      <c r="B464" t="s">
        <v>6878</v>
      </c>
      <c r="C464" t="s">
        <v>74</v>
      </c>
      <c r="D464" t="s">
        <v>74</v>
      </c>
      <c r="E464" t="s">
        <v>74</v>
      </c>
      <c r="F464" t="s">
        <v>6878</v>
      </c>
      <c r="G464" t="s">
        <v>74</v>
      </c>
      <c r="H464" t="s">
        <v>74</v>
      </c>
      <c r="I464" t="s">
        <v>6879</v>
      </c>
      <c r="J464" t="s">
        <v>6880</v>
      </c>
      <c r="K464" t="s">
        <v>74</v>
      </c>
      <c r="L464" t="s">
        <v>74</v>
      </c>
      <c r="M464" t="s">
        <v>77</v>
      </c>
      <c r="N464" t="s">
        <v>78</v>
      </c>
      <c r="O464" t="s">
        <v>74</v>
      </c>
      <c r="P464" t="s">
        <v>74</v>
      </c>
      <c r="Q464" t="s">
        <v>74</v>
      </c>
      <c r="R464" t="s">
        <v>74</v>
      </c>
      <c r="S464" t="s">
        <v>74</v>
      </c>
      <c r="T464" t="s">
        <v>74</v>
      </c>
      <c r="U464" t="s">
        <v>6881</v>
      </c>
      <c r="V464" t="s">
        <v>6882</v>
      </c>
      <c r="W464" t="s">
        <v>6883</v>
      </c>
      <c r="X464" t="s">
        <v>6884</v>
      </c>
      <c r="Y464" t="s">
        <v>6885</v>
      </c>
      <c r="Z464" t="s">
        <v>74</v>
      </c>
      <c r="AA464" t="s">
        <v>6886</v>
      </c>
      <c r="AB464" t="s">
        <v>6887</v>
      </c>
      <c r="AC464" t="s">
        <v>74</v>
      </c>
      <c r="AD464" t="s">
        <v>74</v>
      </c>
      <c r="AE464" t="s">
        <v>74</v>
      </c>
      <c r="AF464" t="s">
        <v>74</v>
      </c>
      <c r="AG464">
        <v>22</v>
      </c>
      <c r="AH464">
        <v>1</v>
      </c>
      <c r="AI464">
        <v>1</v>
      </c>
      <c r="AJ464">
        <v>0</v>
      </c>
      <c r="AK464">
        <v>7</v>
      </c>
      <c r="AL464" t="s">
        <v>228</v>
      </c>
      <c r="AM464" t="s">
        <v>229</v>
      </c>
      <c r="AN464" t="s">
        <v>1129</v>
      </c>
      <c r="AO464" t="s">
        <v>6888</v>
      </c>
      <c r="AP464" t="s">
        <v>74</v>
      </c>
      <c r="AQ464" t="s">
        <v>74</v>
      </c>
      <c r="AR464" t="s">
        <v>6889</v>
      </c>
      <c r="AS464" t="s">
        <v>6890</v>
      </c>
      <c r="AT464" t="s">
        <v>6124</v>
      </c>
      <c r="AU464">
        <v>2003</v>
      </c>
      <c r="AV464">
        <v>10</v>
      </c>
      <c r="AW464">
        <v>2</v>
      </c>
      <c r="AX464" t="s">
        <v>74</v>
      </c>
      <c r="AY464" t="s">
        <v>74</v>
      </c>
      <c r="AZ464" t="s">
        <v>74</v>
      </c>
      <c r="BA464" t="s">
        <v>74</v>
      </c>
      <c r="BB464">
        <v>115</v>
      </c>
      <c r="BC464">
        <v>121</v>
      </c>
      <c r="BD464" t="s">
        <v>74</v>
      </c>
      <c r="BE464" t="s">
        <v>6891</v>
      </c>
      <c r="BF464" t="str">
        <f>HYPERLINK("http://dx.doi.org/10.1017/S1350482703002032","http://dx.doi.org/10.1017/S1350482703002032")</f>
        <v>http://dx.doi.org/10.1017/S1350482703002032</v>
      </c>
      <c r="BG464" t="s">
        <v>74</v>
      </c>
      <c r="BH464" t="s">
        <v>74</v>
      </c>
      <c r="BI464">
        <v>7</v>
      </c>
      <c r="BJ464" t="s">
        <v>93</v>
      </c>
      <c r="BK464" t="s">
        <v>94</v>
      </c>
      <c r="BL464" t="s">
        <v>93</v>
      </c>
      <c r="BM464" t="s">
        <v>6892</v>
      </c>
      <c r="BN464" t="s">
        <v>74</v>
      </c>
      <c r="BO464" t="s">
        <v>2139</v>
      </c>
      <c r="BP464" t="s">
        <v>74</v>
      </c>
      <c r="BQ464" t="s">
        <v>74</v>
      </c>
      <c r="BR464" t="s">
        <v>97</v>
      </c>
      <c r="BS464" t="s">
        <v>6893</v>
      </c>
      <c r="BT464" t="str">
        <f>HYPERLINK("https%3A%2F%2Fwww.webofscience.com%2Fwos%2Fwoscc%2Ffull-record%2FWOS:000184571700003","View Full Record in Web of Science")</f>
        <v>View Full Record in Web of Science</v>
      </c>
    </row>
    <row r="465" spans="1:72" x14ac:dyDescent="0.15">
      <c r="A465" t="s">
        <v>72</v>
      </c>
      <c r="B465" t="s">
        <v>6894</v>
      </c>
      <c r="C465" t="s">
        <v>74</v>
      </c>
      <c r="D465" t="s">
        <v>74</v>
      </c>
      <c r="E465" t="s">
        <v>74</v>
      </c>
      <c r="F465" t="s">
        <v>6894</v>
      </c>
      <c r="G465" t="s">
        <v>74</v>
      </c>
      <c r="H465" t="s">
        <v>74</v>
      </c>
      <c r="I465" t="s">
        <v>6895</v>
      </c>
      <c r="J465" t="s">
        <v>6896</v>
      </c>
      <c r="K465" t="s">
        <v>74</v>
      </c>
      <c r="L465" t="s">
        <v>74</v>
      </c>
      <c r="M465" t="s">
        <v>77</v>
      </c>
      <c r="N465" t="s">
        <v>78</v>
      </c>
      <c r="O465" t="s">
        <v>74</v>
      </c>
      <c r="P465" t="s">
        <v>74</v>
      </c>
      <c r="Q465" t="s">
        <v>74</v>
      </c>
      <c r="R465" t="s">
        <v>74</v>
      </c>
      <c r="S465" t="s">
        <v>74</v>
      </c>
      <c r="T465" t="s">
        <v>74</v>
      </c>
      <c r="U465" t="s">
        <v>74</v>
      </c>
      <c r="V465" t="s">
        <v>6897</v>
      </c>
      <c r="W465" t="s">
        <v>74</v>
      </c>
      <c r="X465" t="s">
        <v>74</v>
      </c>
      <c r="Y465" t="s">
        <v>6898</v>
      </c>
      <c r="Z465" t="s">
        <v>74</v>
      </c>
      <c r="AA465" t="s">
        <v>74</v>
      </c>
      <c r="AB465" t="s">
        <v>74</v>
      </c>
      <c r="AC465" t="s">
        <v>74</v>
      </c>
      <c r="AD465" t="s">
        <v>74</v>
      </c>
      <c r="AE465" t="s">
        <v>74</v>
      </c>
      <c r="AF465" t="s">
        <v>74</v>
      </c>
      <c r="AG465">
        <v>7</v>
      </c>
      <c r="AH465">
        <v>6</v>
      </c>
      <c r="AI465">
        <v>7</v>
      </c>
      <c r="AJ465">
        <v>0</v>
      </c>
      <c r="AK465">
        <v>1</v>
      </c>
      <c r="AL465" t="s">
        <v>6899</v>
      </c>
      <c r="AM465" t="s">
        <v>229</v>
      </c>
      <c r="AN465" t="s">
        <v>6900</v>
      </c>
      <c r="AO465" t="s">
        <v>6901</v>
      </c>
      <c r="AP465" t="s">
        <v>74</v>
      </c>
      <c r="AQ465" t="s">
        <v>74</v>
      </c>
      <c r="AR465" t="s">
        <v>6896</v>
      </c>
      <c r="AS465" t="s">
        <v>6902</v>
      </c>
      <c r="AT465" t="s">
        <v>6872</v>
      </c>
      <c r="AU465">
        <v>2003</v>
      </c>
      <c r="AV465">
        <v>49</v>
      </c>
      <c r="AW465">
        <v>2</v>
      </c>
      <c r="AX465" t="s">
        <v>74</v>
      </c>
      <c r="AY465" t="s">
        <v>74</v>
      </c>
      <c r="AZ465" t="s">
        <v>74</v>
      </c>
      <c r="BA465" t="s">
        <v>74</v>
      </c>
      <c r="BB465">
        <v>197</v>
      </c>
      <c r="BC465">
        <v>200</v>
      </c>
      <c r="BD465" t="s">
        <v>74</v>
      </c>
      <c r="BE465" t="s">
        <v>6903</v>
      </c>
      <c r="BF465" t="str">
        <f>HYPERLINK("http://dx.doi.org/10.2113/49.2.197","http://dx.doi.org/10.2113/49.2.197")</f>
        <v>http://dx.doi.org/10.2113/49.2.197</v>
      </c>
      <c r="BG465" t="s">
        <v>74</v>
      </c>
      <c r="BH465" t="s">
        <v>74</v>
      </c>
      <c r="BI465">
        <v>4</v>
      </c>
      <c r="BJ465" t="s">
        <v>2219</v>
      </c>
      <c r="BK465" t="s">
        <v>94</v>
      </c>
      <c r="BL465" t="s">
        <v>2219</v>
      </c>
      <c r="BM465" t="s">
        <v>6904</v>
      </c>
      <c r="BN465" t="s">
        <v>74</v>
      </c>
      <c r="BO465" t="s">
        <v>74</v>
      </c>
      <c r="BP465" t="s">
        <v>74</v>
      </c>
      <c r="BQ465" t="s">
        <v>74</v>
      </c>
      <c r="BR465" t="s">
        <v>97</v>
      </c>
      <c r="BS465" t="s">
        <v>6905</v>
      </c>
      <c r="BT465" t="str">
        <f>HYPERLINK("https%3A%2F%2Fwww.webofscience.com%2Fwos%2Fwoscc%2Ffull-record%2FWOS:000183960300008","View Full Record in Web of Science")</f>
        <v>View Full Record in Web of Science</v>
      </c>
    </row>
    <row r="466" spans="1:72" x14ac:dyDescent="0.15">
      <c r="A466" t="s">
        <v>72</v>
      </c>
      <c r="B466" t="s">
        <v>6906</v>
      </c>
      <c r="C466" t="s">
        <v>74</v>
      </c>
      <c r="D466" t="s">
        <v>74</v>
      </c>
      <c r="E466" t="s">
        <v>74</v>
      </c>
      <c r="F466" t="s">
        <v>6906</v>
      </c>
      <c r="G466" t="s">
        <v>74</v>
      </c>
      <c r="H466" t="s">
        <v>74</v>
      </c>
      <c r="I466" t="s">
        <v>6907</v>
      </c>
      <c r="J466" t="s">
        <v>6908</v>
      </c>
      <c r="K466" t="s">
        <v>74</v>
      </c>
      <c r="L466" t="s">
        <v>74</v>
      </c>
      <c r="M466" t="s">
        <v>77</v>
      </c>
      <c r="N466" t="s">
        <v>78</v>
      </c>
      <c r="O466" t="s">
        <v>74</v>
      </c>
      <c r="P466" t="s">
        <v>74</v>
      </c>
      <c r="Q466" t="s">
        <v>74</v>
      </c>
      <c r="R466" t="s">
        <v>74</v>
      </c>
      <c r="S466" t="s">
        <v>74</v>
      </c>
      <c r="T466" t="s">
        <v>6909</v>
      </c>
      <c r="U466" t="s">
        <v>6910</v>
      </c>
      <c r="V466" t="s">
        <v>6911</v>
      </c>
      <c r="W466" t="s">
        <v>6912</v>
      </c>
      <c r="X466" t="s">
        <v>6913</v>
      </c>
      <c r="Y466" t="s">
        <v>6914</v>
      </c>
      <c r="Z466" t="s">
        <v>6915</v>
      </c>
      <c r="AA466" t="s">
        <v>6916</v>
      </c>
      <c r="AB466" t="s">
        <v>6917</v>
      </c>
      <c r="AC466" t="s">
        <v>74</v>
      </c>
      <c r="AD466" t="s">
        <v>74</v>
      </c>
      <c r="AE466" t="s">
        <v>74</v>
      </c>
      <c r="AF466" t="s">
        <v>74</v>
      </c>
      <c r="AG466">
        <v>25</v>
      </c>
      <c r="AH466">
        <v>95</v>
      </c>
      <c r="AI466">
        <v>104</v>
      </c>
      <c r="AJ466">
        <v>2</v>
      </c>
      <c r="AK466">
        <v>34</v>
      </c>
      <c r="AL466" t="s">
        <v>6918</v>
      </c>
      <c r="AM466" t="s">
        <v>6919</v>
      </c>
      <c r="AN466" t="s">
        <v>6920</v>
      </c>
      <c r="AO466" t="s">
        <v>6921</v>
      </c>
      <c r="AP466" t="s">
        <v>6922</v>
      </c>
      <c r="AQ466" t="s">
        <v>74</v>
      </c>
      <c r="AR466" t="s">
        <v>6923</v>
      </c>
      <c r="AS466" t="s">
        <v>6924</v>
      </c>
      <c r="AT466" t="s">
        <v>6124</v>
      </c>
      <c r="AU466">
        <v>2003</v>
      </c>
      <c r="AV466">
        <v>67</v>
      </c>
      <c r="AW466">
        <v>3</v>
      </c>
      <c r="AX466" t="s">
        <v>74</v>
      </c>
      <c r="AY466" t="s">
        <v>74</v>
      </c>
      <c r="AZ466" t="s">
        <v>74</v>
      </c>
      <c r="BA466" t="s">
        <v>74</v>
      </c>
      <c r="BB466">
        <v>581</v>
      </c>
      <c r="BC466">
        <v>592</v>
      </c>
      <c r="BD466" t="s">
        <v>74</v>
      </c>
      <c r="BE466" t="s">
        <v>6925</v>
      </c>
      <c r="BF466" t="str">
        <f>HYPERLINK("http://dx.doi.org/10.1180/0026461036730119","http://dx.doi.org/10.1180/0026461036730119")</f>
        <v>http://dx.doi.org/10.1180/0026461036730119</v>
      </c>
      <c r="BG466" t="s">
        <v>74</v>
      </c>
      <c r="BH466" t="s">
        <v>74</v>
      </c>
      <c r="BI466">
        <v>12</v>
      </c>
      <c r="BJ466" t="s">
        <v>6926</v>
      </c>
      <c r="BK466" t="s">
        <v>94</v>
      </c>
      <c r="BL466" t="s">
        <v>6926</v>
      </c>
      <c r="BM466" t="s">
        <v>6927</v>
      </c>
      <c r="BN466" t="s">
        <v>74</v>
      </c>
      <c r="BO466" t="s">
        <v>74</v>
      </c>
      <c r="BP466" t="s">
        <v>74</v>
      </c>
      <c r="BQ466" t="s">
        <v>74</v>
      </c>
      <c r="BR466" t="s">
        <v>97</v>
      </c>
      <c r="BS466" t="s">
        <v>6928</v>
      </c>
      <c r="BT466" t="str">
        <f>HYPERLINK("https%3A%2F%2Fwww.webofscience.com%2Fwos%2Fwoscc%2Ffull-record%2FWOS:000184050600011","View Full Record in Web of Science")</f>
        <v>View Full Record in Web of Science</v>
      </c>
    </row>
    <row r="467" spans="1:72" x14ac:dyDescent="0.15">
      <c r="A467" t="s">
        <v>72</v>
      </c>
      <c r="B467" t="s">
        <v>6929</v>
      </c>
      <c r="C467" t="s">
        <v>74</v>
      </c>
      <c r="D467" t="s">
        <v>74</v>
      </c>
      <c r="E467" t="s">
        <v>74</v>
      </c>
      <c r="F467" t="s">
        <v>6929</v>
      </c>
      <c r="G467" t="s">
        <v>74</v>
      </c>
      <c r="H467" t="s">
        <v>74</v>
      </c>
      <c r="I467" t="s">
        <v>6930</v>
      </c>
      <c r="J467" t="s">
        <v>6931</v>
      </c>
      <c r="K467" t="s">
        <v>74</v>
      </c>
      <c r="L467" t="s">
        <v>74</v>
      </c>
      <c r="M467" t="s">
        <v>77</v>
      </c>
      <c r="N467" t="s">
        <v>78</v>
      </c>
      <c r="O467" t="s">
        <v>74</v>
      </c>
      <c r="P467" t="s">
        <v>74</v>
      </c>
      <c r="Q467" t="s">
        <v>74</v>
      </c>
      <c r="R467" t="s">
        <v>74</v>
      </c>
      <c r="S467" t="s">
        <v>74</v>
      </c>
      <c r="T467" t="s">
        <v>74</v>
      </c>
      <c r="U467" t="s">
        <v>6932</v>
      </c>
      <c r="V467" t="s">
        <v>6933</v>
      </c>
      <c r="W467" t="s">
        <v>6934</v>
      </c>
      <c r="X467" t="s">
        <v>6935</v>
      </c>
      <c r="Y467" t="s">
        <v>6936</v>
      </c>
      <c r="Z467" t="s">
        <v>74</v>
      </c>
      <c r="AA467" t="s">
        <v>6937</v>
      </c>
      <c r="AB467" t="s">
        <v>74</v>
      </c>
      <c r="AC467" t="s">
        <v>74</v>
      </c>
      <c r="AD467" t="s">
        <v>74</v>
      </c>
      <c r="AE467" t="s">
        <v>74</v>
      </c>
      <c r="AF467" t="s">
        <v>74</v>
      </c>
      <c r="AG467">
        <v>38</v>
      </c>
      <c r="AH467">
        <v>36</v>
      </c>
      <c r="AI467">
        <v>41</v>
      </c>
      <c r="AJ467">
        <v>0</v>
      </c>
      <c r="AK467">
        <v>10</v>
      </c>
      <c r="AL467" t="s">
        <v>85</v>
      </c>
      <c r="AM467" t="s">
        <v>86</v>
      </c>
      <c r="AN467" t="s">
        <v>87</v>
      </c>
      <c r="AO467" t="s">
        <v>6938</v>
      </c>
      <c r="AP467" t="s">
        <v>74</v>
      </c>
      <c r="AQ467" t="s">
        <v>74</v>
      </c>
      <c r="AR467" t="s">
        <v>6939</v>
      </c>
      <c r="AS467" t="s">
        <v>6940</v>
      </c>
      <c r="AT467" t="s">
        <v>6124</v>
      </c>
      <c r="AU467">
        <v>2003</v>
      </c>
      <c r="AV467">
        <v>131</v>
      </c>
      <c r="AW467">
        <v>6</v>
      </c>
      <c r="AX467" t="s">
        <v>74</v>
      </c>
      <c r="AY467" t="s">
        <v>74</v>
      </c>
      <c r="AZ467" t="s">
        <v>74</v>
      </c>
      <c r="BA467" t="s">
        <v>74</v>
      </c>
      <c r="BB467">
        <v>1128</v>
      </c>
      <c r="BC467">
        <v>1139</v>
      </c>
      <c r="BD467" t="s">
        <v>74</v>
      </c>
      <c r="BE467" t="s">
        <v>6941</v>
      </c>
      <c r="BF467" t="str">
        <f>HYPERLINK("http://dx.doi.org/10.1175/1520-0493(2003)131&lt;1128:DOTKWI&gt;2.0.CO;2","http://dx.doi.org/10.1175/1520-0493(2003)131&lt;1128:DOTKWI&gt;2.0.CO;2")</f>
        <v>http://dx.doi.org/10.1175/1520-0493(2003)131&lt;1128:DOTKWI&gt;2.0.CO;2</v>
      </c>
      <c r="BG467" t="s">
        <v>74</v>
      </c>
      <c r="BH467" t="s">
        <v>74</v>
      </c>
      <c r="BI467">
        <v>12</v>
      </c>
      <c r="BJ467" t="s">
        <v>93</v>
      </c>
      <c r="BK467" t="s">
        <v>94</v>
      </c>
      <c r="BL467" t="s">
        <v>93</v>
      </c>
      <c r="BM467" t="s">
        <v>6942</v>
      </c>
      <c r="BN467" t="s">
        <v>74</v>
      </c>
      <c r="BO467" t="s">
        <v>759</v>
      </c>
      <c r="BP467" t="s">
        <v>74</v>
      </c>
      <c r="BQ467" t="s">
        <v>74</v>
      </c>
      <c r="BR467" t="s">
        <v>97</v>
      </c>
      <c r="BS467" t="s">
        <v>6943</v>
      </c>
      <c r="BT467" t="str">
        <f>HYPERLINK("https%3A%2F%2Fwww.webofscience.com%2Fwos%2Fwoscc%2Ffull-record%2FWOS:000182656700007","View Full Record in Web of Science")</f>
        <v>View Full Record in Web of Science</v>
      </c>
    </row>
    <row r="468" spans="1:72" x14ac:dyDescent="0.15">
      <c r="A468" t="s">
        <v>72</v>
      </c>
      <c r="B468" t="s">
        <v>6944</v>
      </c>
      <c r="C468" t="s">
        <v>74</v>
      </c>
      <c r="D468" t="s">
        <v>74</v>
      </c>
      <c r="E468" t="s">
        <v>74</v>
      </c>
      <c r="F468" t="s">
        <v>6944</v>
      </c>
      <c r="G468" t="s">
        <v>74</v>
      </c>
      <c r="H468" t="s">
        <v>74</v>
      </c>
      <c r="I468" t="s">
        <v>6945</v>
      </c>
      <c r="J468" t="s">
        <v>6946</v>
      </c>
      <c r="K468" t="s">
        <v>74</v>
      </c>
      <c r="L468" t="s">
        <v>74</v>
      </c>
      <c r="M468" t="s">
        <v>77</v>
      </c>
      <c r="N468" t="s">
        <v>78</v>
      </c>
      <c r="O468" t="s">
        <v>74</v>
      </c>
      <c r="P468" t="s">
        <v>74</v>
      </c>
      <c r="Q468" t="s">
        <v>74</v>
      </c>
      <c r="R468" t="s">
        <v>74</v>
      </c>
      <c r="S468" t="s">
        <v>74</v>
      </c>
      <c r="T468" t="s">
        <v>6947</v>
      </c>
      <c r="U468" t="s">
        <v>6948</v>
      </c>
      <c r="V468" t="s">
        <v>6949</v>
      </c>
      <c r="W468" t="s">
        <v>6950</v>
      </c>
      <c r="X468" t="s">
        <v>5591</v>
      </c>
      <c r="Y468" t="s">
        <v>6951</v>
      </c>
      <c r="Z468" t="s">
        <v>6952</v>
      </c>
      <c r="AA468" t="s">
        <v>6953</v>
      </c>
      <c r="AB468" t="s">
        <v>6954</v>
      </c>
      <c r="AC468" t="s">
        <v>74</v>
      </c>
      <c r="AD468" t="s">
        <v>74</v>
      </c>
      <c r="AE468" t="s">
        <v>74</v>
      </c>
      <c r="AF468" t="s">
        <v>74</v>
      </c>
      <c r="AG468">
        <v>61</v>
      </c>
      <c r="AH468">
        <v>3</v>
      </c>
      <c r="AI468">
        <v>3</v>
      </c>
      <c r="AJ468">
        <v>0</v>
      </c>
      <c r="AK468">
        <v>10</v>
      </c>
      <c r="AL468" t="s">
        <v>1651</v>
      </c>
      <c r="AM468" t="s">
        <v>1652</v>
      </c>
      <c r="AN468" t="s">
        <v>2361</v>
      </c>
      <c r="AO468" t="s">
        <v>6955</v>
      </c>
      <c r="AP468" t="s">
        <v>6956</v>
      </c>
      <c r="AQ468" t="s">
        <v>74</v>
      </c>
      <c r="AR468" t="s">
        <v>6957</v>
      </c>
      <c r="AS468" t="s">
        <v>6958</v>
      </c>
      <c r="AT468" t="s">
        <v>6124</v>
      </c>
      <c r="AU468">
        <v>2003</v>
      </c>
      <c r="AV468">
        <v>41</v>
      </c>
      <c r="AW468">
        <v>2</v>
      </c>
      <c r="AX468" t="s">
        <v>74</v>
      </c>
      <c r="AY468" t="s">
        <v>74</v>
      </c>
      <c r="AZ468" t="s">
        <v>74</v>
      </c>
      <c r="BA468" t="s">
        <v>74</v>
      </c>
      <c r="BB468">
        <v>359</v>
      </c>
      <c r="BC468">
        <v>371</v>
      </c>
      <c r="BD468" t="s">
        <v>74</v>
      </c>
      <c r="BE468" t="s">
        <v>6959</v>
      </c>
      <c r="BF468" t="str">
        <f>HYPERLINK("http://dx.doi.org/10.1080/0028825X.2003.9512854","http://dx.doi.org/10.1080/0028825X.2003.9512854")</f>
        <v>http://dx.doi.org/10.1080/0028825X.2003.9512854</v>
      </c>
      <c r="BG468" t="s">
        <v>74</v>
      </c>
      <c r="BH468" t="s">
        <v>74</v>
      </c>
      <c r="BI468">
        <v>13</v>
      </c>
      <c r="BJ468" t="s">
        <v>276</v>
      </c>
      <c r="BK468" t="s">
        <v>94</v>
      </c>
      <c r="BL468" t="s">
        <v>276</v>
      </c>
      <c r="BM468" t="s">
        <v>6960</v>
      </c>
      <c r="BN468" t="s">
        <v>74</v>
      </c>
      <c r="BO468" t="s">
        <v>96</v>
      </c>
      <c r="BP468" t="s">
        <v>74</v>
      </c>
      <c r="BQ468" t="s">
        <v>74</v>
      </c>
      <c r="BR468" t="s">
        <v>97</v>
      </c>
      <c r="BS468" t="s">
        <v>6961</v>
      </c>
      <c r="BT468" t="str">
        <f>HYPERLINK("https%3A%2F%2Fwww.webofscience.com%2Fwos%2Fwoscc%2Ffull-record%2FWOS:000184824300014","View Full Record in Web of Science")</f>
        <v>View Full Record in Web of Science</v>
      </c>
    </row>
    <row r="469" spans="1:72" x14ac:dyDescent="0.15">
      <c r="A469" t="s">
        <v>72</v>
      </c>
      <c r="B469" t="s">
        <v>6962</v>
      </c>
      <c r="C469" t="s">
        <v>74</v>
      </c>
      <c r="D469" t="s">
        <v>74</v>
      </c>
      <c r="E469" t="s">
        <v>74</v>
      </c>
      <c r="F469" t="s">
        <v>6962</v>
      </c>
      <c r="G469" t="s">
        <v>74</v>
      </c>
      <c r="H469" t="s">
        <v>74</v>
      </c>
      <c r="I469" t="s">
        <v>6963</v>
      </c>
      <c r="J469" t="s">
        <v>6964</v>
      </c>
      <c r="K469" t="s">
        <v>74</v>
      </c>
      <c r="L469" t="s">
        <v>74</v>
      </c>
      <c r="M469" t="s">
        <v>77</v>
      </c>
      <c r="N469" t="s">
        <v>78</v>
      </c>
      <c r="O469" t="s">
        <v>74</v>
      </c>
      <c r="P469" t="s">
        <v>74</v>
      </c>
      <c r="Q469" t="s">
        <v>74</v>
      </c>
      <c r="R469" t="s">
        <v>74</v>
      </c>
      <c r="S469" t="s">
        <v>74</v>
      </c>
      <c r="T469" t="s">
        <v>6965</v>
      </c>
      <c r="U469" t="s">
        <v>6966</v>
      </c>
      <c r="V469" t="s">
        <v>6967</v>
      </c>
      <c r="W469" t="s">
        <v>6968</v>
      </c>
      <c r="X469" t="s">
        <v>6969</v>
      </c>
      <c r="Y469" t="s">
        <v>6970</v>
      </c>
      <c r="Z469" t="s">
        <v>6971</v>
      </c>
      <c r="AA469" t="s">
        <v>74</v>
      </c>
      <c r="AB469" t="s">
        <v>74</v>
      </c>
      <c r="AC469" t="s">
        <v>74</v>
      </c>
      <c r="AD469" t="s">
        <v>74</v>
      </c>
      <c r="AE469" t="s">
        <v>74</v>
      </c>
      <c r="AF469" t="s">
        <v>74</v>
      </c>
      <c r="AG469">
        <v>14</v>
      </c>
      <c r="AH469">
        <v>24</v>
      </c>
      <c r="AI469">
        <v>24</v>
      </c>
      <c r="AJ469">
        <v>0</v>
      </c>
      <c r="AK469">
        <v>3</v>
      </c>
      <c r="AL469" t="s">
        <v>1651</v>
      </c>
      <c r="AM469" t="s">
        <v>1652</v>
      </c>
      <c r="AN469" t="s">
        <v>2361</v>
      </c>
      <c r="AO469" t="s">
        <v>6972</v>
      </c>
      <c r="AP469" t="s">
        <v>6973</v>
      </c>
      <c r="AQ469" t="s">
        <v>74</v>
      </c>
      <c r="AR469" t="s">
        <v>6974</v>
      </c>
      <c r="AS469" t="s">
        <v>6975</v>
      </c>
      <c r="AT469" t="s">
        <v>6124</v>
      </c>
      <c r="AU469">
        <v>2003</v>
      </c>
      <c r="AV469">
        <v>37</v>
      </c>
      <c r="AW469">
        <v>2</v>
      </c>
      <c r="AX469" t="s">
        <v>74</v>
      </c>
      <c r="AY469" t="s">
        <v>74</v>
      </c>
      <c r="AZ469" t="s">
        <v>74</v>
      </c>
      <c r="BA469" t="s">
        <v>74</v>
      </c>
      <c r="BB469">
        <v>241</v>
      </c>
      <c r="BC469">
        <v>249</v>
      </c>
      <c r="BD469" t="s">
        <v>74</v>
      </c>
      <c r="BE469" t="s">
        <v>6976</v>
      </c>
      <c r="BF469" t="str">
        <f>HYPERLINK("http://dx.doi.org/10.1080/00288330.2003.9517162","http://dx.doi.org/10.1080/00288330.2003.9517162")</f>
        <v>http://dx.doi.org/10.1080/00288330.2003.9517162</v>
      </c>
      <c r="BG469" t="s">
        <v>74</v>
      </c>
      <c r="BH469" t="s">
        <v>74</v>
      </c>
      <c r="BI469">
        <v>9</v>
      </c>
      <c r="BJ469" t="s">
        <v>3617</v>
      </c>
      <c r="BK469" t="s">
        <v>94</v>
      </c>
      <c r="BL469" t="s">
        <v>3617</v>
      </c>
      <c r="BM469" t="s">
        <v>6977</v>
      </c>
      <c r="BN469" t="s">
        <v>74</v>
      </c>
      <c r="BO469" t="s">
        <v>96</v>
      </c>
      <c r="BP469" t="s">
        <v>74</v>
      </c>
      <c r="BQ469" t="s">
        <v>74</v>
      </c>
      <c r="BR469" t="s">
        <v>97</v>
      </c>
      <c r="BS469" t="s">
        <v>6978</v>
      </c>
      <c r="BT469" t="str">
        <f>HYPERLINK("https%3A%2F%2Fwww.webofscience.com%2Fwos%2Fwoscc%2Ffull-record%2FWOS:000184766500003","View Full Record in Web of Science")</f>
        <v>View Full Record in Web of Science</v>
      </c>
    </row>
    <row r="470" spans="1:72" x14ac:dyDescent="0.15">
      <c r="A470" t="s">
        <v>72</v>
      </c>
      <c r="B470" t="s">
        <v>6979</v>
      </c>
      <c r="C470" t="s">
        <v>74</v>
      </c>
      <c r="D470" t="s">
        <v>74</v>
      </c>
      <c r="E470" t="s">
        <v>74</v>
      </c>
      <c r="F470" t="s">
        <v>6979</v>
      </c>
      <c r="G470" t="s">
        <v>74</v>
      </c>
      <c r="H470" t="s">
        <v>74</v>
      </c>
      <c r="I470" t="s">
        <v>6980</v>
      </c>
      <c r="J470" t="s">
        <v>6981</v>
      </c>
      <c r="K470" t="s">
        <v>74</v>
      </c>
      <c r="L470" t="s">
        <v>74</v>
      </c>
      <c r="M470" t="s">
        <v>77</v>
      </c>
      <c r="N470" t="s">
        <v>78</v>
      </c>
      <c r="O470" t="s">
        <v>74</v>
      </c>
      <c r="P470" t="s">
        <v>74</v>
      </c>
      <c r="Q470" t="s">
        <v>74</v>
      </c>
      <c r="R470" t="s">
        <v>74</v>
      </c>
      <c r="S470" t="s">
        <v>74</v>
      </c>
      <c r="T470" t="s">
        <v>6982</v>
      </c>
      <c r="U470" t="s">
        <v>6983</v>
      </c>
      <c r="V470" t="s">
        <v>6984</v>
      </c>
      <c r="W470" t="s">
        <v>6985</v>
      </c>
      <c r="X470" t="s">
        <v>2229</v>
      </c>
      <c r="Y470" t="s">
        <v>6986</v>
      </c>
      <c r="Z470" t="s">
        <v>6987</v>
      </c>
      <c r="AA470" t="s">
        <v>2232</v>
      </c>
      <c r="AB470" t="s">
        <v>74</v>
      </c>
      <c r="AC470" t="s">
        <v>74</v>
      </c>
      <c r="AD470" t="s">
        <v>74</v>
      </c>
      <c r="AE470" t="s">
        <v>74</v>
      </c>
      <c r="AF470" t="s">
        <v>74</v>
      </c>
      <c r="AG470">
        <v>41</v>
      </c>
      <c r="AH470">
        <v>7</v>
      </c>
      <c r="AI470">
        <v>7</v>
      </c>
      <c r="AJ470">
        <v>0</v>
      </c>
      <c r="AK470">
        <v>1</v>
      </c>
      <c r="AL470" t="s">
        <v>4650</v>
      </c>
      <c r="AM470" t="s">
        <v>4651</v>
      </c>
      <c r="AN470" t="s">
        <v>4652</v>
      </c>
      <c r="AO470" t="s">
        <v>6988</v>
      </c>
      <c r="AP470" t="s">
        <v>74</v>
      </c>
      <c r="AQ470" t="s">
        <v>74</v>
      </c>
      <c r="AR470" t="s">
        <v>6989</v>
      </c>
      <c r="AS470" t="s">
        <v>6990</v>
      </c>
      <c r="AT470" t="s">
        <v>6124</v>
      </c>
      <c r="AU470">
        <v>2003</v>
      </c>
      <c r="AV470">
        <v>26</v>
      </c>
      <c r="AW470">
        <v>3</v>
      </c>
      <c r="AX470" t="s">
        <v>74</v>
      </c>
      <c r="AY470" t="s">
        <v>74</v>
      </c>
      <c r="AZ470" t="s">
        <v>74</v>
      </c>
      <c r="BA470" t="s">
        <v>74</v>
      </c>
      <c r="BB470">
        <v>225</v>
      </c>
      <c r="BC470">
        <v>229</v>
      </c>
      <c r="BD470" t="s">
        <v>74</v>
      </c>
      <c r="BE470" t="s">
        <v>6991</v>
      </c>
      <c r="BF470" t="str">
        <f>HYPERLINK("http://dx.doi.org/10.1016/S0399-1784(03)00031-8","http://dx.doi.org/10.1016/S0399-1784(03)00031-8")</f>
        <v>http://dx.doi.org/10.1016/S0399-1784(03)00031-8</v>
      </c>
      <c r="BG470" t="s">
        <v>74</v>
      </c>
      <c r="BH470" t="s">
        <v>74</v>
      </c>
      <c r="BI470">
        <v>5</v>
      </c>
      <c r="BJ470" t="s">
        <v>678</v>
      </c>
      <c r="BK470" t="s">
        <v>94</v>
      </c>
      <c r="BL470" t="s">
        <v>678</v>
      </c>
      <c r="BM470" t="s">
        <v>6992</v>
      </c>
      <c r="BN470" t="s">
        <v>74</v>
      </c>
      <c r="BO470" t="s">
        <v>154</v>
      </c>
      <c r="BP470" t="s">
        <v>74</v>
      </c>
      <c r="BQ470" t="s">
        <v>74</v>
      </c>
      <c r="BR470" t="s">
        <v>97</v>
      </c>
      <c r="BS470" t="s">
        <v>6993</v>
      </c>
      <c r="BT470" t="str">
        <f>HYPERLINK("https%3A%2F%2Fwww.webofscience.com%2Fwos%2Fwoscc%2Ffull-record%2FWOS:000184497200002","View Full Record in Web of Science")</f>
        <v>View Full Record in Web of Science</v>
      </c>
    </row>
    <row r="471" spans="1:72" x14ac:dyDescent="0.15">
      <c r="A471" t="s">
        <v>72</v>
      </c>
      <c r="B471" t="s">
        <v>6994</v>
      </c>
      <c r="C471" t="s">
        <v>74</v>
      </c>
      <c r="D471" t="s">
        <v>74</v>
      </c>
      <c r="E471" t="s">
        <v>74</v>
      </c>
      <c r="F471" t="s">
        <v>6994</v>
      </c>
      <c r="G471" t="s">
        <v>74</v>
      </c>
      <c r="H471" t="s">
        <v>74</v>
      </c>
      <c r="I471" t="s">
        <v>6995</v>
      </c>
      <c r="J471" t="s">
        <v>6996</v>
      </c>
      <c r="K471" t="s">
        <v>74</v>
      </c>
      <c r="L471" t="s">
        <v>74</v>
      </c>
      <c r="M471" t="s">
        <v>77</v>
      </c>
      <c r="N471" t="s">
        <v>78</v>
      </c>
      <c r="O471" t="s">
        <v>74</v>
      </c>
      <c r="P471" t="s">
        <v>74</v>
      </c>
      <c r="Q471" t="s">
        <v>74</v>
      </c>
      <c r="R471" t="s">
        <v>74</v>
      </c>
      <c r="S471" t="s">
        <v>74</v>
      </c>
      <c r="T471" t="s">
        <v>6997</v>
      </c>
      <c r="U471" t="s">
        <v>6998</v>
      </c>
      <c r="V471" t="s">
        <v>6999</v>
      </c>
      <c r="W471" t="s">
        <v>7000</v>
      </c>
      <c r="X471" t="s">
        <v>7001</v>
      </c>
      <c r="Y471" t="s">
        <v>7002</v>
      </c>
      <c r="Z471" t="s">
        <v>74</v>
      </c>
      <c r="AA471" t="s">
        <v>7003</v>
      </c>
      <c r="AB471" t="s">
        <v>7004</v>
      </c>
      <c r="AC471" t="s">
        <v>74</v>
      </c>
      <c r="AD471" t="s">
        <v>74</v>
      </c>
      <c r="AE471" t="s">
        <v>74</v>
      </c>
      <c r="AF471" t="s">
        <v>74</v>
      </c>
      <c r="AG471">
        <v>50</v>
      </c>
      <c r="AH471">
        <v>31</v>
      </c>
      <c r="AI471">
        <v>40</v>
      </c>
      <c r="AJ471">
        <v>0</v>
      </c>
      <c r="AK471">
        <v>17</v>
      </c>
      <c r="AL471" t="s">
        <v>289</v>
      </c>
      <c r="AM471" t="s">
        <v>170</v>
      </c>
      <c r="AN471" t="s">
        <v>290</v>
      </c>
      <c r="AO471" t="s">
        <v>7005</v>
      </c>
      <c r="AP471" t="s">
        <v>74</v>
      </c>
      <c r="AQ471" t="s">
        <v>74</v>
      </c>
      <c r="AR471" t="s">
        <v>7006</v>
      </c>
      <c r="AS471" t="s">
        <v>7007</v>
      </c>
      <c r="AT471" t="s">
        <v>6124</v>
      </c>
      <c r="AU471">
        <v>2003</v>
      </c>
      <c r="AV471">
        <v>28</v>
      </c>
      <c r="AW471">
        <v>2</v>
      </c>
      <c r="AX471" t="s">
        <v>74</v>
      </c>
      <c r="AY471" t="s">
        <v>74</v>
      </c>
      <c r="AZ471" t="s">
        <v>74</v>
      </c>
      <c r="BA471" t="s">
        <v>74</v>
      </c>
      <c r="BB471">
        <v>114</v>
      </c>
      <c r="BC471">
        <v>121</v>
      </c>
      <c r="BD471" t="s">
        <v>74</v>
      </c>
      <c r="BE471" t="s">
        <v>7008</v>
      </c>
      <c r="BF471" t="str">
        <f>HYPERLINK("http://dx.doi.org/10.1046/j.1365-3032.2003.00327.x","http://dx.doi.org/10.1046/j.1365-3032.2003.00327.x")</f>
        <v>http://dx.doi.org/10.1046/j.1365-3032.2003.00327.x</v>
      </c>
      <c r="BG471" t="s">
        <v>74</v>
      </c>
      <c r="BH471" t="s">
        <v>74</v>
      </c>
      <c r="BI471">
        <v>8</v>
      </c>
      <c r="BJ471" t="s">
        <v>7009</v>
      </c>
      <c r="BK471" t="s">
        <v>94</v>
      </c>
      <c r="BL471" t="s">
        <v>7009</v>
      </c>
      <c r="BM471" t="s">
        <v>7010</v>
      </c>
      <c r="BN471" t="s">
        <v>74</v>
      </c>
      <c r="BO471" t="s">
        <v>74</v>
      </c>
      <c r="BP471" t="s">
        <v>74</v>
      </c>
      <c r="BQ471" t="s">
        <v>74</v>
      </c>
      <c r="BR471" t="s">
        <v>97</v>
      </c>
      <c r="BS471" t="s">
        <v>7011</v>
      </c>
      <c r="BT471" t="str">
        <f>HYPERLINK("https%3A%2F%2Fwww.webofscience.com%2Fwos%2Fwoscc%2Ffull-record%2FWOS:000183310800007","View Full Record in Web of Science")</f>
        <v>View Full Record in Web of Science</v>
      </c>
    </row>
    <row r="472" spans="1:72" x14ac:dyDescent="0.15">
      <c r="A472" t="s">
        <v>72</v>
      </c>
      <c r="B472" t="s">
        <v>7012</v>
      </c>
      <c r="C472" t="s">
        <v>74</v>
      </c>
      <c r="D472" t="s">
        <v>74</v>
      </c>
      <c r="E472" t="s">
        <v>74</v>
      </c>
      <c r="F472" t="s">
        <v>7012</v>
      </c>
      <c r="G472" t="s">
        <v>74</v>
      </c>
      <c r="H472" t="s">
        <v>74</v>
      </c>
      <c r="I472" t="s">
        <v>7013</v>
      </c>
      <c r="J472" t="s">
        <v>316</v>
      </c>
      <c r="K472" t="s">
        <v>74</v>
      </c>
      <c r="L472" t="s">
        <v>74</v>
      </c>
      <c r="M472" t="s">
        <v>77</v>
      </c>
      <c r="N472" t="s">
        <v>78</v>
      </c>
      <c r="O472" t="s">
        <v>74</v>
      </c>
      <c r="P472" t="s">
        <v>74</v>
      </c>
      <c r="Q472" t="s">
        <v>74</v>
      </c>
      <c r="R472" t="s">
        <v>74</v>
      </c>
      <c r="S472" t="s">
        <v>74</v>
      </c>
      <c r="T472" t="s">
        <v>74</v>
      </c>
      <c r="U472" t="s">
        <v>7014</v>
      </c>
      <c r="V472" t="s">
        <v>7015</v>
      </c>
      <c r="W472" t="s">
        <v>7016</v>
      </c>
      <c r="X472" t="s">
        <v>7017</v>
      </c>
      <c r="Y472" t="s">
        <v>7018</v>
      </c>
      <c r="Z472" t="s">
        <v>74</v>
      </c>
      <c r="AA472" t="s">
        <v>7019</v>
      </c>
      <c r="AB472" t="s">
        <v>74</v>
      </c>
      <c r="AC472" t="s">
        <v>74</v>
      </c>
      <c r="AD472" t="s">
        <v>74</v>
      </c>
      <c r="AE472" t="s">
        <v>74</v>
      </c>
      <c r="AF472" t="s">
        <v>74</v>
      </c>
      <c r="AG472">
        <v>27</v>
      </c>
      <c r="AH472">
        <v>15</v>
      </c>
      <c r="AI472">
        <v>16</v>
      </c>
      <c r="AJ472">
        <v>0</v>
      </c>
      <c r="AK472">
        <v>5</v>
      </c>
      <c r="AL472" t="s">
        <v>342</v>
      </c>
      <c r="AM472" t="s">
        <v>229</v>
      </c>
      <c r="AN472" t="s">
        <v>343</v>
      </c>
      <c r="AO472" t="s">
        <v>324</v>
      </c>
      <c r="AP472" t="s">
        <v>74</v>
      </c>
      <c r="AQ472" t="s">
        <v>74</v>
      </c>
      <c r="AR472" t="s">
        <v>326</v>
      </c>
      <c r="AS472" t="s">
        <v>327</v>
      </c>
      <c r="AT472" t="s">
        <v>6124</v>
      </c>
      <c r="AU472">
        <v>2003</v>
      </c>
      <c r="AV472">
        <v>26</v>
      </c>
      <c r="AW472">
        <v>6</v>
      </c>
      <c r="AX472" t="s">
        <v>74</v>
      </c>
      <c r="AY472" t="s">
        <v>74</v>
      </c>
      <c r="AZ472" t="s">
        <v>74</v>
      </c>
      <c r="BA472" t="s">
        <v>74</v>
      </c>
      <c r="BB472">
        <v>359</v>
      </c>
      <c r="BC472">
        <v>364</v>
      </c>
      <c r="BD472" t="s">
        <v>74</v>
      </c>
      <c r="BE472" t="s">
        <v>7020</v>
      </c>
      <c r="BF472" t="str">
        <f>HYPERLINK("http://dx.doi.org/10.1007/s00300-003-0479-y","http://dx.doi.org/10.1007/s00300-003-0479-y")</f>
        <v>http://dx.doi.org/10.1007/s00300-003-0479-y</v>
      </c>
      <c r="BG472" t="s">
        <v>74</v>
      </c>
      <c r="BH472" t="s">
        <v>74</v>
      </c>
      <c r="BI472">
        <v>6</v>
      </c>
      <c r="BJ472" t="s">
        <v>329</v>
      </c>
      <c r="BK472" t="s">
        <v>94</v>
      </c>
      <c r="BL472" t="s">
        <v>330</v>
      </c>
      <c r="BM472" t="s">
        <v>7021</v>
      </c>
      <c r="BN472" t="s">
        <v>74</v>
      </c>
      <c r="BO472" t="s">
        <v>74</v>
      </c>
      <c r="BP472" t="s">
        <v>74</v>
      </c>
      <c r="BQ472" t="s">
        <v>74</v>
      </c>
      <c r="BR472" t="s">
        <v>97</v>
      </c>
      <c r="BS472" t="s">
        <v>7022</v>
      </c>
      <c r="BT472" t="str">
        <f>HYPERLINK("https%3A%2F%2Fwww.webofscience.com%2Fwos%2Fwoscc%2Ffull-record%2FWOS:000183889900001","View Full Record in Web of Science")</f>
        <v>View Full Record in Web of Science</v>
      </c>
    </row>
    <row r="473" spans="1:72" x14ac:dyDescent="0.15">
      <c r="A473" t="s">
        <v>72</v>
      </c>
      <c r="B473" t="s">
        <v>7023</v>
      </c>
      <c r="C473" t="s">
        <v>74</v>
      </c>
      <c r="D473" t="s">
        <v>74</v>
      </c>
      <c r="E473" t="s">
        <v>74</v>
      </c>
      <c r="F473" t="s">
        <v>7023</v>
      </c>
      <c r="G473" t="s">
        <v>74</v>
      </c>
      <c r="H473" t="s">
        <v>74</v>
      </c>
      <c r="I473" t="s">
        <v>7024</v>
      </c>
      <c r="J473" t="s">
        <v>316</v>
      </c>
      <c r="K473" t="s">
        <v>74</v>
      </c>
      <c r="L473" t="s">
        <v>74</v>
      </c>
      <c r="M473" t="s">
        <v>77</v>
      </c>
      <c r="N473" t="s">
        <v>78</v>
      </c>
      <c r="O473" t="s">
        <v>74</v>
      </c>
      <c r="P473" t="s">
        <v>74</v>
      </c>
      <c r="Q473" t="s">
        <v>74</v>
      </c>
      <c r="R473" t="s">
        <v>74</v>
      </c>
      <c r="S473" t="s">
        <v>74</v>
      </c>
      <c r="T473" t="s">
        <v>74</v>
      </c>
      <c r="U473" t="s">
        <v>7025</v>
      </c>
      <c r="V473" t="s">
        <v>7026</v>
      </c>
      <c r="W473" t="s">
        <v>705</v>
      </c>
      <c r="X473" t="s">
        <v>706</v>
      </c>
      <c r="Y473" t="s">
        <v>7027</v>
      </c>
      <c r="Z473" t="s">
        <v>74</v>
      </c>
      <c r="AA473" t="s">
        <v>7028</v>
      </c>
      <c r="AB473" t="s">
        <v>7029</v>
      </c>
      <c r="AC473" t="s">
        <v>74</v>
      </c>
      <c r="AD473" t="s">
        <v>74</v>
      </c>
      <c r="AE473" t="s">
        <v>74</v>
      </c>
      <c r="AF473" t="s">
        <v>74</v>
      </c>
      <c r="AG473">
        <v>36</v>
      </c>
      <c r="AH473">
        <v>32</v>
      </c>
      <c r="AI473">
        <v>36</v>
      </c>
      <c r="AJ473">
        <v>0</v>
      </c>
      <c r="AK473">
        <v>8</v>
      </c>
      <c r="AL473" t="s">
        <v>342</v>
      </c>
      <c r="AM473" t="s">
        <v>229</v>
      </c>
      <c r="AN473" t="s">
        <v>343</v>
      </c>
      <c r="AO473" t="s">
        <v>324</v>
      </c>
      <c r="AP473" t="s">
        <v>74</v>
      </c>
      <c r="AQ473" t="s">
        <v>74</v>
      </c>
      <c r="AR473" t="s">
        <v>326</v>
      </c>
      <c r="AS473" t="s">
        <v>327</v>
      </c>
      <c r="AT473" t="s">
        <v>6124</v>
      </c>
      <c r="AU473">
        <v>2003</v>
      </c>
      <c r="AV473">
        <v>26</v>
      </c>
      <c r="AW473">
        <v>6</v>
      </c>
      <c r="AX473" t="s">
        <v>74</v>
      </c>
      <c r="AY473" t="s">
        <v>74</v>
      </c>
      <c r="AZ473" t="s">
        <v>74</v>
      </c>
      <c r="BA473" t="s">
        <v>74</v>
      </c>
      <c r="BB473">
        <v>396</v>
      </c>
      <c r="BC473">
        <v>403</v>
      </c>
      <c r="BD473" t="s">
        <v>74</v>
      </c>
      <c r="BE473" t="s">
        <v>7030</v>
      </c>
      <c r="BF473" t="str">
        <f>HYPERLINK("http://dx.doi.org/10.1007/s00300-003-0503-2","http://dx.doi.org/10.1007/s00300-003-0503-2")</f>
        <v>http://dx.doi.org/10.1007/s00300-003-0503-2</v>
      </c>
      <c r="BG473" t="s">
        <v>74</v>
      </c>
      <c r="BH473" t="s">
        <v>74</v>
      </c>
      <c r="BI473">
        <v>8</v>
      </c>
      <c r="BJ473" t="s">
        <v>329</v>
      </c>
      <c r="BK473" t="s">
        <v>94</v>
      </c>
      <c r="BL473" t="s">
        <v>330</v>
      </c>
      <c r="BM473" t="s">
        <v>7021</v>
      </c>
      <c r="BN473" t="s">
        <v>74</v>
      </c>
      <c r="BO473" t="s">
        <v>74</v>
      </c>
      <c r="BP473" t="s">
        <v>74</v>
      </c>
      <c r="BQ473" t="s">
        <v>74</v>
      </c>
      <c r="BR473" t="s">
        <v>97</v>
      </c>
      <c r="BS473" t="s">
        <v>7031</v>
      </c>
      <c r="BT473" t="str">
        <f>HYPERLINK("https%3A%2F%2Fwww.webofscience.com%2Fwos%2Fwoscc%2Ffull-record%2FWOS:000183889900007","View Full Record in Web of Science")</f>
        <v>View Full Record in Web of Science</v>
      </c>
    </row>
    <row r="474" spans="1:72" x14ac:dyDescent="0.15">
      <c r="A474" t="s">
        <v>72</v>
      </c>
      <c r="B474" t="s">
        <v>7032</v>
      </c>
      <c r="C474" t="s">
        <v>74</v>
      </c>
      <c r="D474" t="s">
        <v>74</v>
      </c>
      <c r="E474" t="s">
        <v>74</v>
      </c>
      <c r="F474" t="s">
        <v>7032</v>
      </c>
      <c r="G474" t="s">
        <v>74</v>
      </c>
      <c r="H474" t="s">
        <v>74</v>
      </c>
      <c r="I474" t="s">
        <v>7033</v>
      </c>
      <c r="J474" t="s">
        <v>316</v>
      </c>
      <c r="K474" t="s">
        <v>74</v>
      </c>
      <c r="L474" t="s">
        <v>74</v>
      </c>
      <c r="M474" t="s">
        <v>77</v>
      </c>
      <c r="N474" t="s">
        <v>78</v>
      </c>
      <c r="O474" t="s">
        <v>74</v>
      </c>
      <c r="P474" t="s">
        <v>74</v>
      </c>
      <c r="Q474" t="s">
        <v>74</v>
      </c>
      <c r="R474" t="s">
        <v>74</v>
      </c>
      <c r="S474" t="s">
        <v>74</v>
      </c>
      <c r="T474" t="s">
        <v>74</v>
      </c>
      <c r="U474" t="s">
        <v>7034</v>
      </c>
      <c r="V474" t="s">
        <v>7035</v>
      </c>
      <c r="W474" t="s">
        <v>7036</v>
      </c>
      <c r="X474" t="s">
        <v>7037</v>
      </c>
      <c r="Y474" t="s">
        <v>7038</v>
      </c>
      <c r="Z474" t="s">
        <v>74</v>
      </c>
      <c r="AA474" t="s">
        <v>74</v>
      </c>
      <c r="AB474" t="s">
        <v>74</v>
      </c>
      <c r="AC474" t="s">
        <v>74</v>
      </c>
      <c r="AD474" t="s">
        <v>74</v>
      </c>
      <c r="AE474" t="s">
        <v>74</v>
      </c>
      <c r="AF474" t="s">
        <v>74</v>
      </c>
      <c r="AG474">
        <v>23</v>
      </c>
      <c r="AH474">
        <v>9</v>
      </c>
      <c r="AI474">
        <v>9</v>
      </c>
      <c r="AJ474">
        <v>0</v>
      </c>
      <c r="AK474">
        <v>5</v>
      </c>
      <c r="AL474" t="s">
        <v>342</v>
      </c>
      <c r="AM474" t="s">
        <v>229</v>
      </c>
      <c r="AN474" t="s">
        <v>343</v>
      </c>
      <c r="AO474" t="s">
        <v>324</v>
      </c>
      <c r="AP474" t="s">
        <v>74</v>
      </c>
      <c r="AQ474" t="s">
        <v>74</v>
      </c>
      <c r="AR474" t="s">
        <v>326</v>
      </c>
      <c r="AS474" t="s">
        <v>327</v>
      </c>
      <c r="AT474" t="s">
        <v>6124</v>
      </c>
      <c r="AU474">
        <v>2003</v>
      </c>
      <c r="AV474">
        <v>26</v>
      </c>
      <c r="AW474">
        <v>6</v>
      </c>
      <c r="AX474" t="s">
        <v>74</v>
      </c>
      <c r="AY474" t="s">
        <v>74</v>
      </c>
      <c r="AZ474" t="s">
        <v>74</v>
      </c>
      <c r="BA474" t="s">
        <v>74</v>
      </c>
      <c r="BB474">
        <v>411</v>
      </c>
      <c r="BC474">
        <v>415</v>
      </c>
      <c r="BD474" t="s">
        <v>74</v>
      </c>
      <c r="BE474" t="s">
        <v>7039</v>
      </c>
      <c r="BF474" t="str">
        <f>HYPERLINK("http://dx.doi.org/10.1007/s00300-003-0498-8","http://dx.doi.org/10.1007/s00300-003-0498-8")</f>
        <v>http://dx.doi.org/10.1007/s00300-003-0498-8</v>
      </c>
      <c r="BG474" t="s">
        <v>74</v>
      </c>
      <c r="BH474" t="s">
        <v>74</v>
      </c>
      <c r="BI474">
        <v>5</v>
      </c>
      <c r="BJ474" t="s">
        <v>329</v>
      </c>
      <c r="BK474" t="s">
        <v>94</v>
      </c>
      <c r="BL474" t="s">
        <v>330</v>
      </c>
      <c r="BM474" t="s">
        <v>7021</v>
      </c>
      <c r="BN474" t="s">
        <v>74</v>
      </c>
      <c r="BO474" t="s">
        <v>74</v>
      </c>
      <c r="BP474" t="s">
        <v>74</v>
      </c>
      <c r="BQ474" t="s">
        <v>74</v>
      </c>
      <c r="BR474" t="s">
        <v>97</v>
      </c>
      <c r="BS474" t="s">
        <v>7040</v>
      </c>
      <c r="BT474" t="str">
        <f>HYPERLINK("https%3A%2F%2Fwww.webofscience.com%2Fwos%2Fwoscc%2Ffull-record%2FWOS:000183889900009","View Full Record in Web of Science")</f>
        <v>View Full Record in Web of Science</v>
      </c>
    </row>
    <row r="475" spans="1:72" x14ac:dyDescent="0.15">
      <c r="A475" t="s">
        <v>72</v>
      </c>
      <c r="B475" t="s">
        <v>7041</v>
      </c>
      <c r="C475" t="s">
        <v>74</v>
      </c>
      <c r="D475" t="s">
        <v>74</v>
      </c>
      <c r="E475" t="s">
        <v>74</v>
      </c>
      <c r="F475" t="s">
        <v>7041</v>
      </c>
      <c r="G475" t="s">
        <v>74</v>
      </c>
      <c r="H475" t="s">
        <v>74</v>
      </c>
      <c r="I475" t="s">
        <v>7042</v>
      </c>
      <c r="J475" t="s">
        <v>316</v>
      </c>
      <c r="K475" t="s">
        <v>74</v>
      </c>
      <c r="L475" t="s">
        <v>74</v>
      </c>
      <c r="M475" t="s">
        <v>77</v>
      </c>
      <c r="N475" t="s">
        <v>78</v>
      </c>
      <c r="O475" t="s">
        <v>74</v>
      </c>
      <c r="P475" t="s">
        <v>74</v>
      </c>
      <c r="Q475" t="s">
        <v>74</v>
      </c>
      <c r="R475" t="s">
        <v>74</v>
      </c>
      <c r="S475" t="s">
        <v>74</v>
      </c>
      <c r="T475" t="s">
        <v>74</v>
      </c>
      <c r="U475" t="s">
        <v>7043</v>
      </c>
      <c r="V475" t="s">
        <v>7044</v>
      </c>
      <c r="W475" t="s">
        <v>7045</v>
      </c>
      <c r="X475" t="s">
        <v>7046</v>
      </c>
      <c r="Y475" t="s">
        <v>7047</v>
      </c>
      <c r="Z475" t="s">
        <v>7048</v>
      </c>
      <c r="AA475" t="s">
        <v>7049</v>
      </c>
      <c r="AB475" t="s">
        <v>7050</v>
      </c>
      <c r="AC475" t="s">
        <v>74</v>
      </c>
      <c r="AD475" t="s">
        <v>74</v>
      </c>
      <c r="AE475" t="s">
        <v>74</v>
      </c>
      <c r="AF475" t="s">
        <v>74</v>
      </c>
      <c r="AG475">
        <v>19</v>
      </c>
      <c r="AH475">
        <v>18</v>
      </c>
      <c r="AI475">
        <v>21</v>
      </c>
      <c r="AJ475">
        <v>0</v>
      </c>
      <c r="AK475">
        <v>2</v>
      </c>
      <c r="AL475" t="s">
        <v>207</v>
      </c>
      <c r="AM475" t="s">
        <v>229</v>
      </c>
      <c r="AN475" t="s">
        <v>323</v>
      </c>
      <c r="AO475" t="s">
        <v>324</v>
      </c>
      <c r="AP475" t="s">
        <v>325</v>
      </c>
      <c r="AQ475" t="s">
        <v>74</v>
      </c>
      <c r="AR475" t="s">
        <v>326</v>
      </c>
      <c r="AS475" t="s">
        <v>327</v>
      </c>
      <c r="AT475" t="s">
        <v>6124</v>
      </c>
      <c r="AU475">
        <v>2003</v>
      </c>
      <c r="AV475">
        <v>26</v>
      </c>
      <c r="AW475">
        <v>6</v>
      </c>
      <c r="AX475" t="s">
        <v>74</v>
      </c>
      <c r="AY475" t="s">
        <v>74</v>
      </c>
      <c r="AZ475" t="s">
        <v>74</v>
      </c>
      <c r="BA475" t="s">
        <v>74</v>
      </c>
      <c r="BB475">
        <v>416</v>
      </c>
      <c r="BC475">
        <v>419</v>
      </c>
      <c r="BD475" t="s">
        <v>74</v>
      </c>
      <c r="BE475" t="s">
        <v>7051</v>
      </c>
      <c r="BF475" t="str">
        <f>HYPERLINK("http://dx.doi.org/10.1007/s00300-003-0491-2","http://dx.doi.org/10.1007/s00300-003-0491-2")</f>
        <v>http://dx.doi.org/10.1007/s00300-003-0491-2</v>
      </c>
      <c r="BG475" t="s">
        <v>74</v>
      </c>
      <c r="BH475" t="s">
        <v>74</v>
      </c>
      <c r="BI475">
        <v>4</v>
      </c>
      <c r="BJ475" t="s">
        <v>329</v>
      </c>
      <c r="BK475" t="s">
        <v>94</v>
      </c>
      <c r="BL475" t="s">
        <v>330</v>
      </c>
      <c r="BM475" t="s">
        <v>7021</v>
      </c>
      <c r="BN475" t="s">
        <v>74</v>
      </c>
      <c r="BO475" t="s">
        <v>1767</v>
      </c>
      <c r="BP475" t="s">
        <v>74</v>
      </c>
      <c r="BQ475" t="s">
        <v>74</v>
      </c>
      <c r="BR475" t="s">
        <v>97</v>
      </c>
      <c r="BS475" t="s">
        <v>7052</v>
      </c>
      <c r="BT475" t="str">
        <f>HYPERLINK("https%3A%2F%2Fwww.webofscience.com%2Fwos%2Fwoscc%2Ffull-record%2FWOS:000183889900010","View Full Record in Web of Science")</f>
        <v>View Full Record in Web of Science</v>
      </c>
    </row>
    <row r="476" spans="1:72" x14ac:dyDescent="0.15">
      <c r="A476" t="s">
        <v>72</v>
      </c>
      <c r="B476" t="s">
        <v>7053</v>
      </c>
      <c r="C476" t="s">
        <v>74</v>
      </c>
      <c r="D476" t="s">
        <v>74</v>
      </c>
      <c r="E476" t="s">
        <v>74</v>
      </c>
      <c r="F476" t="s">
        <v>7053</v>
      </c>
      <c r="G476" t="s">
        <v>74</v>
      </c>
      <c r="H476" t="s">
        <v>74</v>
      </c>
      <c r="I476" t="s">
        <v>7054</v>
      </c>
      <c r="J476" t="s">
        <v>7055</v>
      </c>
      <c r="K476" t="s">
        <v>74</v>
      </c>
      <c r="L476" t="s">
        <v>74</v>
      </c>
      <c r="M476" t="s">
        <v>77</v>
      </c>
      <c r="N476" t="s">
        <v>556</v>
      </c>
      <c r="O476" t="s">
        <v>74</v>
      </c>
      <c r="P476" t="s">
        <v>74</v>
      </c>
      <c r="Q476" t="s">
        <v>74</v>
      </c>
      <c r="R476" t="s">
        <v>74</v>
      </c>
      <c r="S476" t="s">
        <v>74</v>
      </c>
      <c r="T476" t="s">
        <v>74</v>
      </c>
      <c r="U476" t="s">
        <v>7056</v>
      </c>
      <c r="V476" t="s">
        <v>74</v>
      </c>
      <c r="W476" t="s">
        <v>7057</v>
      </c>
      <c r="X476" t="s">
        <v>7058</v>
      </c>
      <c r="Y476" t="s">
        <v>7059</v>
      </c>
      <c r="Z476" t="s">
        <v>74</v>
      </c>
      <c r="AA476" t="s">
        <v>74</v>
      </c>
      <c r="AB476" t="s">
        <v>74</v>
      </c>
      <c r="AC476" t="s">
        <v>74</v>
      </c>
      <c r="AD476" t="s">
        <v>74</v>
      </c>
      <c r="AE476" t="s">
        <v>74</v>
      </c>
      <c r="AF476" t="s">
        <v>74</v>
      </c>
      <c r="AG476">
        <v>105</v>
      </c>
      <c r="AH476">
        <v>5</v>
      </c>
      <c r="AI476">
        <v>5</v>
      </c>
      <c r="AJ476">
        <v>0</v>
      </c>
      <c r="AK476">
        <v>2</v>
      </c>
      <c r="AL476" t="s">
        <v>4985</v>
      </c>
      <c r="AM476" t="s">
        <v>964</v>
      </c>
      <c r="AN476" t="s">
        <v>4986</v>
      </c>
      <c r="AO476" t="s">
        <v>7060</v>
      </c>
      <c r="AP476" t="s">
        <v>7061</v>
      </c>
      <c r="AQ476" t="s">
        <v>74</v>
      </c>
      <c r="AR476" t="s">
        <v>7062</v>
      </c>
      <c r="AS476" t="s">
        <v>7063</v>
      </c>
      <c r="AT476" t="s">
        <v>6124</v>
      </c>
      <c r="AU476">
        <v>2003</v>
      </c>
      <c r="AV476">
        <v>27</v>
      </c>
      <c r="AW476">
        <v>2</v>
      </c>
      <c r="AX476" t="s">
        <v>74</v>
      </c>
      <c r="AY476" t="s">
        <v>74</v>
      </c>
      <c r="AZ476" t="s">
        <v>74</v>
      </c>
      <c r="BA476" t="s">
        <v>74</v>
      </c>
      <c r="BB476">
        <v>261</v>
      </c>
      <c r="BC476">
        <v>274</v>
      </c>
      <c r="BD476" t="s">
        <v>74</v>
      </c>
      <c r="BE476" t="s">
        <v>7064</v>
      </c>
      <c r="BF476" t="str">
        <f>HYPERLINK("http://dx.doi.org/10.1191/0309133303pp380pr","http://dx.doi.org/10.1191/0309133303pp380pr")</f>
        <v>http://dx.doi.org/10.1191/0309133303pp380pr</v>
      </c>
      <c r="BG476" t="s">
        <v>74</v>
      </c>
      <c r="BH476" t="s">
        <v>74</v>
      </c>
      <c r="BI476">
        <v>14</v>
      </c>
      <c r="BJ476" t="s">
        <v>1433</v>
      </c>
      <c r="BK476" t="s">
        <v>94</v>
      </c>
      <c r="BL476" t="s">
        <v>1434</v>
      </c>
      <c r="BM476" t="s">
        <v>7065</v>
      </c>
      <c r="BN476" t="s">
        <v>74</v>
      </c>
      <c r="BO476" t="s">
        <v>74</v>
      </c>
      <c r="BP476" t="s">
        <v>74</v>
      </c>
      <c r="BQ476" t="s">
        <v>74</v>
      </c>
      <c r="BR476" t="s">
        <v>97</v>
      </c>
      <c r="BS476" t="s">
        <v>7066</v>
      </c>
      <c r="BT476" t="str">
        <f>HYPERLINK("https%3A%2F%2Fwww.webofscience.com%2Fwos%2Fwoscc%2Ffull-record%2FWOS:000183152700006","View Full Record in Web of Science")</f>
        <v>View Full Record in Web of Science</v>
      </c>
    </row>
    <row r="477" spans="1:72" x14ac:dyDescent="0.15">
      <c r="A477" t="s">
        <v>72</v>
      </c>
      <c r="B477" t="s">
        <v>7067</v>
      </c>
      <c r="C477" t="s">
        <v>74</v>
      </c>
      <c r="D477" t="s">
        <v>74</v>
      </c>
      <c r="E477" t="s">
        <v>74</v>
      </c>
      <c r="F477" t="s">
        <v>7067</v>
      </c>
      <c r="G477" t="s">
        <v>74</v>
      </c>
      <c r="H477" t="s">
        <v>74</v>
      </c>
      <c r="I477" t="s">
        <v>7068</v>
      </c>
      <c r="J477" t="s">
        <v>7069</v>
      </c>
      <c r="K477" t="s">
        <v>74</v>
      </c>
      <c r="L477" t="s">
        <v>74</v>
      </c>
      <c r="M477" t="s">
        <v>77</v>
      </c>
      <c r="N477" t="s">
        <v>556</v>
      </c>
      <c r="O477" t="s">
        <v>74</v>
      </c>
      <c r="P477" t="s">
        <v>74</v>
      </c>
      <c r="Q477" t="s">
        <v>74</v>
      </c>
      <c r="R477" t="s">
        <v>74</v>
      </c>
      <c r="S477" t="s">
        <v>74</v>
      </c>
      <c r="T477" t="s">
        <v>7070</v>
      </c>
      <c r="U477" t="s">
        <v>7071</v>
      </c>
      <c r="V477" t="s">
        <v>7072</v>
      </c>
      <c r="W477" t="s">
        <v>7073</v>
      </c>
      <c r="X477" t="s">
        <v>7074</v>
      </c>
      <c r="Y477" t="s">
        <v>7075</v>
      </c>
      <c r="Z477" t="s">
        <v>7076</v>
      </c>
      <c r="AA477" t="s">
        <v>74</v>
      </c>
      <c r="AB477" t="s">
        <v>7077</v>
      </c>
      <c r="AC477" t="s">
        <v>74</v>
      </c>
      <c r="AD477" t="s">
        <v>74</v>
      </c>
      <c r="AE477" t="s">
        <v>74</v>
      </c>
      <c r="AF477" t="s">
        <v>74</v>
      </c>
      <c r="AG477">
        <v>258</v>
      </c>
      <c r="AH477">
        <v>415</v>
      </c>
      <c r="AI477">
        <v>445</v>
      </c>
      <c r="AJ477">
        <v>3</v>
      </c>
      <c r="AK477">
        <v>39</v>
      </c>
      <c r="AL477" t="s">
        <v>781</v>
      </c>
      <c r="AM477" t="s">
        <v>111</v>
      </c>
      <c r="AN477" t="s">
        <v>782</v>
      </c>
      <c r="AO477" t="s">
        <v>7078</v>
      </c>
      <c r="AP477" t="s">
        <v>7079</v>
      </c>
      <c r="AQ477" t="s">
        <v>74</v>
      </c>
      <c r="AR477" t="s">
        <v>7080</v>
      </c>
      <c r="AS477" t="s">
        <v>7081</v>
      </c>
      <c r="AT477" t="s">
        <v>6124</v>
      </c>
      <c r="AU477">
        <v>2003</v>
      </c>
      <c r="AV477">
        <v>125</v>
      </c>
      <c r="AW477" t="s">
        <v>787</v>
      </c>
      <c r="AX477" t="s">
        <v>74</v>
      </c>
      <c r="AY477" t="s">
        <v>74</v>
      </c>
      <c r="AZ477" t="s">
        <v>74</v>
      </c>
      <c r="BA477" t="s">
        <v>74</v>
      </c>
      <c r="BB477">
        <v>1</v>
      </c>
      <c r="BC477">
        <v>200</v>
      </c>
      <c r="BD477" t="s">
        <v>74</v>
      </c>
      <c r="BE477" t="s">
        <v>7082</v>
      </c>
      <c r="BF477" t="str">
        <f>HYPERLINK("http://dx.doi.org/10.1016/S0034-6667(02)00229-4","http://dx.doi.org/10.1016/S0034-6667(02)00229-4")</f>
        <v>http://dx.doi.org/10.1016/S0034-6667(02)00229-4</v>
      </c>
      <c r="BG477" t="s">
        <v>74</v>
      </c>
      <c r="BH477" t="s">
        <v>74</v>
      </c>
      <c r="BI477">
        <v>200</v>
      </c>
      <c r="BJ477" t="s">
        <v>7083</v>
      </c>
      <c r="BK477" t="s">
        <v>94</v>
      </c>
      <c r="BL477" t="s">
        <v>7083</v>
      </c>
      <c r="BM477" t="s">
        <v>7084</v>
      </c>
      <c r="BN477" t="s">
        <v>74</v>
      </c>
      <c r="BO477" t="s">
        <v>74</v>
      </c>
      <c r="BP477" t="s">
        <v>74</v>
      </c>
      <c r="BQ477" t="s">
        <v>74</v>
      </c>
      <c r="BR477" t="s">
        <v>97</v>
      </c>
      <c r="BS477" t="s">
        <v>7085</v>
      </c>
      <c r="BT477" t="str">
        <f>HYPERLINK("https%3A%2F%2Fwww.webofscience.com%2Fwos%2Fwoscc%2Ffull-record%2FWOS:000183478600001","View Full Record in Web of Science")</f>
        <v>View Full Record in Web of Science</v>
      </c>
    </row>
    <row r="478" spans="1:72" x14ac:dyDescent="0.15">
      <c r="A478" t="s">
        <v>72</v>
      </c>
      <c r="B478" t="s">
        <v>7086</v>
      </c>
      <c r="C478" t="s">
        <v>74</v>
      </c>
      <c r="D478" t="s">
        <v>74</v>
      </c>
      <c r="E478" t="s">
        <v>74</v>
      </c>
      <c r="F478" t="s">
        <v>7086</v>
      </c>
      <c r="G478" t="s">
        <v>74</v>
      </c>
      <c r="H478" t="s">
        <v>74</v>
      </c>
      <c r="I478" t="s">
        <v>7087</v>
      </c>
      <c r="J478" t="s">
        <v>2498</v>
      </c>
      <c r="K478" t="s">
        <v>74</v>
      </c>
      <c r="L478" t="s">
        <v>74</v>
      </c>
      <c r="M478" t="s">
        <v>77</v>
      </c>
      <c r="N478" t="s">
        <v>78</v>
      </c>
      <c r="O478" t="s">
        <v>74</v>
      </c>
      <c r="P478" t="s">
        <v>74</v>
      </c>
      <c r="Q478" t="s">
        <v>74</v>
      </c>
      <c r="R478" t="s">
        <v>74</v>
      </c>
      <c r="S478" t="s">
        <v>74</v>
      </c>
      <c r="T478" t="s">
        <v>7088</v>
      </c>
      <c r="U478" t="s">
        <v>7089</v>
      </c>
      <c r="V478" t="s">
        <v>7090</v>
      </c>
      <c r="W478" t="s">
        <v>7091</v>
      </c>
      <c r="X478" t="s">
        <v>3926</v>
      </c>
      <c r="Y478" t="s">
        <v>7092</v>
      </c>
      <c r="Z478" t="s">
        <v>74</v>
      </c>
      <c r="AA478" t="s">
        <v>7093</v>
      </c>
      <c r="AB478" t="s">
        <v>7094</v>
      </c>
      <c r="AC478" t="s">
        <v>74</v>
      </c>
      <c r="AD478" t="s">
        <v>74</v>
      </c>
      <c r="AE478" t="s">
        <v>74</v>
      </c>
      <c r="AF478" t="s">
        <v>74</v>
      </c>
      <c r="AG478">
        <v>12</v>
      </c>
      <c r="AH478">
        <v>89</v>
      </c>
      <c r="AI478">
        <v>101</v>
      </c>
      <c r="AJ478">
        <v>0</v>
      </c>
      <c r="AK478">
        <v>20</v>
      </c>
      <c r="AL478" t="s">
        <v>110</v>
      </c>
      <c r="AM478" t="s">
        <v>111</v>
      </c>
      <c r="AN478" t="s">
        <v>112</v>
      </c>
      <c r="AO478" t="s">
        <v>2507</v>
      </c>
      <c r="AP478" t="s">
        <v>74</v>
      </c>
      <c r="AQ478" t="s">
        <v>74</v>
      </c>
      <c r="AR478" t="s">
        <v>2508</v>
      </c>
      <c r="AS478" t="s">
        <v>2509</v>
      </c>
      <c r="AT478" t="s">
        <v>6732</v>
      </c>
      <c r="AU478">
        <v>2003</v>
      </c>
      <c r="AV478">
        <v>308</v>
      </c>
      <c r="AW478" t="s">
        <v>1894</v>
      </c>
      <c r="AX478" t="s">
        <v>74</v>
      </c>
      <c r="AY478" t="s">
        <v>74</v>
      </c>
      <c r="AZ478" t="s">
        <v>74</v>
      </c>
      <c r="BA478" t="s">
        <v>74</v>
      </c>
      <c r="BB478">
        <v>167</v>
      </c>
      <c r="BC478">
        <v>173</v>
      </c>
      <c r="BD478" t="s">
        <v>7095</v>
      </c>
      <c r="BE478" t="s">
        <v>7096</v>
      </c>
      <c r="BF478" t="str">
        <f>HYPERLINK("http://dx.doi.org/10.1016/S0048-9697(02)00649-6","http://dx.doi.org/10.1016/S0048-9697(02)00649-6")</f>
        <v>http://dx.doi.org/10.1016/S0048-9697(02)00649-6</v>
      </c>
      <c r="BG478" t="s">
        <v>74</v>
      </c>
      <c r="BH478" t="s">
        <v>74</v>
      </c>
      <c r="BI478">
        <v>7</v>
      </c>
      <c r="BJ478" t="s">
        <v>2511</v>
      </c>
      <c r="BK478" t="s">
        <v>94</v>
      </c>
      <c r="BL478" t="s">
        <v>2512</v>
      </c>
      <c r="BM478" t="s">
        <v>7097</v>
      </c>
      <c r="BN478">
        <v>12738210</v>
      </c>
      <c r="BO478" t="s">
        <v>74</v>
      </c>
      <c r="BP478" t="s">
        <v>74</v>
      </c>
      <c r="BQ478" t="s">
        <v>74</v>
      </c>
      <c r="BR478" t="s">
        <v>97</v>
      </c>
      <c r="BS478" t="s">
        <v>7098</v>
      </c>
      <c r="BT478" t="str">
        <f>HYPERLINK("https%3A%2F%2Fwww.webofscience.com%2Fwos%2Fwoscc%2Ffull-record%2FWOS:000183047700014","View Full Record in Web of Science")</f>
        <v>View Full Record in Web of Science</v>
      </c>
    </row>
    <row r="479" spans="1:72" x14ac:dyDescent="0.15">
      <c r="A479" t="s">
        <v>72</v>
      </c>
      <c r="B479" t="s">
        <v>7099</v>
      </c>
      <c r="C479" t="s">
        <v>74</v>
      </c>
      <c r="D479" t="s">
        <v>74</v>
      </c>
      <c r="E479" t="s">
        <v>74</v>
      </c>
      <c r="F479" t="s">
        <v>7099</v>
      </c>
      <c r="G479" t="s">
        <v>74</v>
      </c>
      <c r="H479" t="s">
        <v>74</v>
      </c>
      <c r="I479" t="s">
        <v>7100</v>
      </c>
      <c r="J479" t="s">
        <v>2498</v>
      </c>
      <c r="K479" t="s">
        <v>74</v>
      </c>
      <c r="L479" t="s">
        <v>74</v>
      </c>
      <c r="M479" t="s">
        <v>77</v>
      </c>
      <c r="N479" t="s">
        <v>78</v>
      </c>
      <c r="O479" t="s">
        <v>74</v>
      </c>
      <c r="P479" t="s">
        <v>74</v>
      </c>
      <c r="Q479" t="s">
        <v>74</v>
      </c>
      <c r="R479" t="s">
        <v>74</v>
      </c>
      <c r="S479" t="s">
        <v>74</v>
      </c>
      <c r="T479" t="s">
        <v>7101</v>
      </c>
      <c r="U479" t="s">
        <v>7102</v>
      </c>
      <c r="V479" t="s">
        <v>7103</v>
      </c>
      <c r="W479" t="s">
        <v>7104</v>
      </c>
      <c r="X479" t="s">
        <v>7105</v>
      </c>
      <c r="Y479" t="s">
        <v>7106</v>
      </c>
      <c r="Z479" t="s">
        <v>74</v>
      </c>
      <c r="AA479" t="s">
        <v>7107</v>
      </c>
      <c r="AB479" t="s">
        <v>7108</v>
      </c>
      <c r="AC479" t="s">
        <v>74</v>
      </c>
      <c r="AD479" t="s">
        <v>74</v>
      </c>
      <c r="AE479" t="s">
        <v>74</v>
      </c>
      <c r="AF479" t="s">
        <v>74</v>
      </c>
      <c r="AG479">
        <v>67</v>
      </c>
      <c r="AH479">
        <v>50</v>
      </c>
      <c r="AI479">
        <v>53</v>
      </c>
      <c r="AJ479">
        <v>0</v>
      </c>
      <c r="AK479">
        <v>37</v>
      </c>
      <c r="AL479" t="s">
        <v>110</v>
      </c>
      <c r="AM479" t="s">
        <v>111</v>
      </c>
      <c r="AN479" t="s">
        <v>112</v>
      </c>
      <c r="AO479" t="s">
        <v>2507</v>
      </c>
      <c r="AP479" t="s">
        <v>74</v>
      </c>
      <c r="AQ479" t="s">
        <v>74</v>
      </c>
      <c r="AR479" t="s">
        <v>2508</v>
      </c>
      <c r="AS479" t="s">
        <v>2509</v>
      </c>
      <c r="AT479" t="s">
        <v>6732</v>
      </c>
      <c r="AU479">
        <v>2003</v>
      </c>
      <c r="AV479">
        <v>308</v>
      </c>
      <c r="AW479" t="s">
        <v>1894</v>
      </c>
      <c r="AX479" t="s">
        <v>74</v>
      </c>
      <c r="AY479" t="s">
        <v>74</v>
      </c>
      <c r="AZ479" t="s">
        <v>74</v>
      </c>
      <c r="BA479" t="s">
        <v>74</v>
      </c>
      <c r="BB479">
        <v>221</v>
      </c>
      <c r="BC479">
        <v>234</v>
      </c>
      <c r="BD479" t="s">
        <v>7109</v>
      </c>
      <c r="BE479" t="s">
        <v>7110</v>
      </c>
      <c r="BF479" t="str">
        <f>HYPERLINK("http://dx.doi.org/10.1016/S0048-9697(02)00616-2","http://dx.doi.org/10.1016/S0048-9697(02)00616-2")</f>
        <v>http://dx.doi.org/10.1016/S0048-9697(02)00616-2</v>
      </c>
      <c r="BG479" t="s">
        <v>74</v>
      </c>
      <c r="BH479" t="s">
        <v>74</v>
      </c>
      <c r="BI479">
        <v>14</v>
      </c>
      <c r="BJ479" t="s">
        <v>2511</v>
      </c>
      <c r="BK479" t="s">
        <v>94</v>
      </c>
      <c r="BL479" t="s">
        <v>2512</v>
      </c>
      <c r="BM479" t="s">
        <v>7097</v>
      </c>
      <c r="BN479">
        <v>12738215</v>
      </c>
      <c r="BO479" t="s">
        <v>74</v>
      </c>
      <c r="BP479" t="s">
        <v>74</v>
      </c>
      <c r="BQ479" t="s">
        <v>74</v>
      </c>
      <c r="BR479" t="s">
        <v>97</v>
      </c>
      <c r="BS479" t="s">
        <v>7111</v>
      </c>
      <c r="BT479" t="str">
        <f>HYPERLINK("https%3A%2F%2Fwww.webofscience.com%2Fwos%2Fwoscc%2Ffull-record%2FWOS:000183047700019","View Full Record in Web of Science")</f>
        <v>View Full Record in Web of Science</v>
      </c>
    </row>
    <row r="480" spans="1:72" x14ac:dyDescent="0.15">
      <c r="A480" t="s">
        <v>72</v>
      </c>
      <c r="B480" t="s">
        <v>7112</v>
      </c>
      <c r="C480" t="s">
        <v>74</v>
      </c>
      <c r="D480" t="s">
        <v>74</v>
      </c>
      <c r="E480" t="s">
        <v>74</v>
      </c>
      <c r="F480" t="s">
        <v>7112</v>
      </c>
      <c r="G480" t="s">
        <v>74</v>
      </c>
      <c r="H480" t="s">
        <v>74</v>
      </c>
      <c r="I480" t="s">
        <v>7113</v>
      </c>
      <c r="J480" t="s">
        <v>7114</v>
      </c>
      <c r="K480" t="s">
        <v>74</v>
      </c>
      <c r="L480" t="s">
        <v>74</v>
      </c>
      <c r="M480" t="s">
        <v>77</v>
      </c>
      <c r="N480" t="s">
        <v>78</v>
      </c>
      <c r="O480" t="s">
        <v>74</v>
      </c>
      <c r="P480" t="s">
        <v>74</v>
      </c>
      <c r="Q480" t="s">
        <v>74</v>
      </c>
      <c r="R480" t="s">
        <v>74</v>
      </c>
      <c r="S480" t="s">
        <v>74</v>
      </c>
      <c r="T480" t="s">
        <v>7115</v>
      </c>
      <c r="U480" t="s">
        <v>7116</v>
      </c>
      <c r="V480" t="s">
        <v>7117</v>
      </c>
      <c r="W480" t="s">
        <v>7118</v>
      </c>
      <c r="X480" t="s">
        <v>7119</v>
      </c>
      <c r="Y480" t="s">
        <v>74</v>
      </c>
      <c r="Z480" t="s">
        <v>7120</v>
      </c>
      <c r="AA480" t="s">
        <v>7121</v>
      </c>
      <c r="AB480" t="s">
        <v>7122</v>
      </c>
      <c r="AC480" t="s">
        <v>74</v>
      </c>
      <c r="AD480" t="s">
        <v>74</v>
      </c>
      <c r="AE480" t="s">
        <v>74</v>
      </c>
      <c r="AF480" t="s">
        <v>74</v>
      </c>
      <c r="AG480">
        <v>42</v>
      </c>
      <c r="AH480">
        <v>12</v>
      </c>
      <c r="AI480">
        <v>13</v>
      </c>
      <c r="AJ480">
        <v>0</v>
      </c>
      <c r="AK480">
        <v>2</v>
      </c>
      <c r="AL480" t="s">
        <v>7123</v>
      </c>
      <c r="AM480" t="s">
        <v>7124</v>
      </c>
      <c r="AN480" t="s">
        <v>7125</v>
      </c>
      <c r="AO480" t="s">
        <v>7126</v>
      </c>
      <c r="AP480" t="s">
        <v>7127</v>
      </c>
      <c r="AQ480" t="s">
        <v>74</v>
      </c>
      <c r="AR480" t="s">
        <v>7128</v>
      </c>
      <c r="AS480" t="s">
        <v>7129</v>
      </c>
      <c r="AT480" t="s">
        <v>6124</v>
      </c>
      <c r="AU480">
        <v>2003</v>
      </c>
      <c r="AV480">
        <v>67</v>
      </c>
      <c r="AW480">
        <v>2</v>
      </c>
      <c r="AX480" t="s">
        <v>74</v>
      </c>
      <c r="AY480" t="s">
        <v>74</v>
      </c>
      <c r="AZ480" t="s">
        <v>74</v>
      </c>
      <c r="BA480" t="s">
        <v>74</v>
      </c>
      <c r="BB480">
        <v>177</v>
      </c>
      <c r="BC480">
        <v>194</v>
      </c>
      <c r="BD480" t="s">
        <v>74</v>
      </c>
      <c r="BE480" t="s">
        <v>7130</v>
      </c>
      <c r="BF480" t="str">
        <f>HYPERLINK("http://dx.doi.org/10.3989/scimar.2003.67n2177","http://dx.doi.org/10.3989/scimar.2003.67n2177")</f>
        <v>http://dx.doi.org/10.3989/scimar.2003.67n2177</v>
      </c>
      <c r="BG480" t="s">
        <v>74</v>
      </c>
      <c r="BH480" t="s">
        <v>74</v>
      </c>
      <c r="BI480">
        <v>18</v>
      </c>
      <c r="BJ480" t="s">
        <v>235</v>
      </c>
      <c r="BK480" t="s">
        <v>94</v>
      </c>
      <c r="BL480" t="s">
        <v>235</v>
      </c>
      <c r="BM480" t="s">
        <v>7131</v>
      </c>
      <c r="BN480" t="s">
        <v>74</v>
      </c>
      <c r="BO480" t="s">
        <v>7132</v>
      </c>
      <c r="BP480" t="s">
        <v>74</v>
      </c>
      <c r="BQ480" t="s">
        <v>74</v>
      </c>
      <c r="BR480" t="s">
        <v>97</v>
      </c>
      <c r="BS480" t="s">
        <v>7133</v>
      </c>
      <c r="BT480" t="str">
        <f>HYPERLINK("https%3A%2F%2Fwww.webofscience.com%2Fwos%2Fwoscc%2Ffull-record%2FWOS:000183987100006","View Full Record in Web of Science")</f>
        <v>View Full Record in Web of Science</v>
      </c>
    </row>
    <row r="481" spans="1:72" x14ac:dyDescent="0.15">
      <c r="A481" t="s">
        <v>72</v>
      </c>
      <c r="B481" t="s">
        <v>7134</v>
      </c>
      <c r="C481" t="s">
        <v>74</v>
      </c>
      <c r="D481" t="s">
        <v>74</v>
      </c>
      <c r="E481" t="s">
        <v>74</v>
      </c>
      <c r="F481" t="s">
        <v>7134</v>
      </c>
      <c r="G481" t="s">
        <v>74</v>
      </c>
      <c r="H481" t="s">
        <v>74</v>
      </c>
      <c r="I481" t="s">
        <v>7135</v>
      </c>
      <c r="J481" t="s">
        <v>7136</v>
      </c>
      <c r="K481" t="s">
        <v>74</v>
      </c>
      <c r="L481" t="s">
        <v>74</v>
      </c>
      <c r="M481" t="s">
        <v>77</v>
      </c>
      <c r="N481" t="s">
        <v>78</v>
      </c>
      <c r="O481" t="s">
        <v>74</v>
      </c>
      <c r="P481" t="s">
        <v>74</v>
      </c>
      <c r="Q481" t="s">
        <v>74</v>
      </c>
      <c r="R481" t="s">
        <v>74</v>
      </c>
      <c r="S481" t="s">
        <v>74</v>
      </c>
      <c r="T481" t="s">
        <v>7137</v>
      </c>
      <c r="U481" t="s">
        <v>7138</v>
      </c>
      <c r="V481" t="s">
        <v>7139</v>
      </c>
      <c r="W481" t="s">
        <v>7140</v>
      </c>
      <c r="X481" t="s">
        <v>7141</v>
      </c>
      <c r="Y481" t="s">
        <v>7142</v>
      </c>
      <c r="Z481" t="s">
        <v>7143</v>
      </c>
      <c r="AA481" t="s">
        <v>74</v>
      </c>
      <c r="AB481" t="s">
        <v>7144</v>
      </c>
      <c r="AC481" t="s">
        <v>74</v>
      </c>
      <c r="AD481" t="s">
        <v>74</v>
      </c>
      <c r="AE481" t="s">
        <v>74</v>
      </c>
      <c r="AF481" t="s">
        <v>74</v>
      </c>
      <c r="AG481">
        <v>95</v>
      </c>
      <c r="AH481">
        <v>59</v>
      </c>
      <c r="AI481">
        <v>66</v>
      </c>
      <c r="AJ481">
        <v>0</v>
      </c>
      <c r="AK481">
        <v>22</v>
      </c>
      <c r="AL481" t="s">
        <v>3996</v>
      </c>
      <c r="AM481" t="s">
        <v>3863</v>
      </c>
      <c r="AN481" t="s">
        <v>3997</v>
      </c>
      <c r="AO481" t="s">
        <v>7145</v>
      </c>
      <c r="AP481" t="s">
        <v>74</v>
      </c>
      <c r="AQ481" t="s">
        <v>74</v>
      </c>
      <c r="AR481" t="s">
        <v>7136</v>
      </c>
      <c r="AS481" t="s">
        <v>7146</v>
      </c>
      <c r="AT481" t="s">
        <v>6124</v>
      </c>
      <c r="AU481">
        <v>2003</v>
      </c>
      <c r="AV481">
        <v>50</v>
      </c>
      <c r="AW481">
        <v>3</v>
      </c>
      <c r="AX481" t="s">
        <v>74</v>
      </c>
      <c r="AY481" t="s">
        <v>74</v>
      </c>
      <c r="AZ481" t="s">
        <v>74</v>
      </c>
      <c r="BA481" t="s">
        <v>74</v>
      </c>
      <c r="BB481">
        <v>511</v>
      </c>
      <c r="BC481">
        <v>529</v>
      </c>
      <c r="BD481" t="s">
        <v>74</v>
      </c>
      <c r="BE481" t="s">
        <v>7147</v>
      </c>
      <c r="BF481" t="str">
        <f>HYPERLINK("http://dx.doi.org/10.1046/j.1365-3091.2003.00562.x","http://dx.doi.org/10.1046/j.1365-3091.2003.00562.x")</f>
        <v>http://dx.doi.org/10.1046/j.1365-3091.2003.00562.x</v>
      </c>
      <c r="BG481" t="s">
        <v>74</v>
      </c>
      <c r="BH481" t="s">
        <v>74</v>
      </c>
      <c r="BI481">
        <v>19</v>
      </c>
      <c r="BJ481" t="s">
        <v>549</v>
      </c>
      <c r="BK481" t="s">
        <v>94</v>
      </c>
      <c r="BL481" t="s">
        <v>549</v>
      </c>
      <c r="BM481" t="s">
        <v>7148</v>
      </c>
      <c r="BN481" t="s">
        <v>74</v>
      </c>
      <c r="BO481" t="s">
        <v>74</v>
      </c>
      <c r="BP481" t="s">
        <v>74</v>
      </c>
      <c r="BQ481" t="s">
        <v>74</v>
      </c>
      <c r="BR481" t="s">
        <v>97</v>
      </c>
      <c r="BS481" t="s">
        <v>7149</v>
      </c>
      <c r="BT481" t="str">
        <f>HYPERLINK("https%3A%2F%2Fwww.webofscience.com%2Fwos%2Fwoscc%2Ffull-record%2FWOS:000183515700006","View Full Record in Web of Science")</f>
        <v>View Full Record in Web of Science</v>
      </c>
    </row>
    <row r="482" spans="1:72" x14ac:dyDescent="0.15">
      <c r="A482" t="s">
        <v>72</v>
      </c>
      <c r="B482" t="s">
        <v>7150</v>
      </c>
      <c r="C482" t="s">
        <v>74</v>
      </c>
      <c r="D482" t="s">
        <v>74</v>
      </c>
      <c r="E482" t="s">
        <v>74</v>
      </c>
      <c r="F482" t="s">
        <v>7150</v>
      </c>
      <c r="G482" t="s">
        <v>74</v>
      </c>
      <c r="H482" t="s">
        <v>74</v>
      </c>
      <c r="I482" t="s">
        <v>7151</v>
      </c>
      <c r="J482" t="s">
        <v>7136</v>
      </c>
      <c r="K482" t="s">
        <v>74</v>
      </c>
      <c r="L482" t="s">
        <v>74</v>
      </c>
      <c r="M482" t="s">
        <v>77</v>
      </c>
      <c r="N482" t="s">
        <v>78</v>
      </c>
      <c r="O482" t="s">
        <v>74</v>
      </c>
      <c r="P482" t="s">
        <v>74</v>
      </c>
      <c r="Q482" t="s">
        <v>74</v>
      </c>
      <c r="R482" t="s">
        <v>74</v>
      </c>
      <c r="S482" t="s">
        <v>74</v>
      </c>
      <c r="T482" t="s">
        <v>7152</v>
      </c>
      <c r="U482" t="s">
        <v>7153</v>
      </c>
      <c r="V482" t="s">
        <v>7154</v>
      </c>
      <c r="W482" t="s">
        <v>7155</v>
      </c>
      <c r="X482" t="s">
        <v>7156</v>
      </c>
      <c r="Y482" t="s">
        <v>7157</v>
      </c>
      <c r="Z482" t="s">
        <v>7158</v>
      </c>
      <c r="AA482" t="s">
        <v>7159</v>
      </c>
      <c r="AB482" t="s">
        <v>74</v>
      </c>
      <c r="AC482" t="s">
        <v>74</v>
      </c>
      <c r="AD482" t="s">
        <v>74</v>
      </c>
      <c r="AE482" t="s">
        <v>74</v>
      </c>
      <c r="AF482" t="s">
        <v>74</v>
      </c>
      <c r="AG482">
        <v>77</v>
      </c>
      <c r="AH482">
        <v>21</v>
      </c>
      <c r="AI482">
        <v>24</v>
      </c>
      <c r="AJ482">
        <v>0</v>
      </c>
      <c r="AK482">
        <v>0</v>
      </c>
      <c r="AL482" t="s">
        <v>250</v>
      </c>
      <c r="AM482" t="s">
        <v>251</v>
      </c>
      <c r="AN482" t="s">
        <v>252</v>
      </c>
      <c r="AO482" t="s">
        <v>7145</v>
      </c>
      <c r="AP482" t="s">
        <v>7160</v>
      </c>
      <c r="AQ482" t="s">
        <v>74</v>
      </c>
      <c r="AR482" t="s">
        <v>7136</v>
      </c>
      <c r="AS482" t="s">
        <v>7146</v>
      </c>
      <c r="AT482" t="s">
        <v>6124</v>
      </c>
      <c r="AU482">
        <v>2003</v>
      </c>
      <c r="AV482">
        <v>50</v>
      </c>
      <c r="AW482">
        <v>3</v>
      </c>
      <c r="AX482" t="s">
        <v>74</v>
      </c>
      <c r="AY482" t="s">
        <v>74</v>
      </c>
      <c r="AZ482" t="s">
        <v>74</v>
      </c>
      <c r="BA482" t="s">
        <v>74</v>
      </c>
      <c r="BB482">
        <v>531</v>
      </c>
      <c r="BC482">
        <v>552</v>
      </c>
      <c r="BD482" t="s">
        <v>74</v>
      </c>
      <c r="BE482" t="s">
        <v>7161</v>
      </c>
      <c r="BF482" t="str">
        <f>HYPERLINK("http://dx.doi.org/10.1046/j.1365-3091.2003.00563.x","http://dx.doi.org/10.1046/j.1365-3091.2003.00563.x")</f>
        <v>http://dx.doi.org/10.1046/j.1365-3091.2003.00563.x</v>
      </c>
      <c r="BG482" t="s">
        <v>74</v>
      </c>
      <c r="BH482" t="s">
        <v>74</v>
      </c>
      <c r="BI482">
        <v>22</v>
      </c>
      <c r="BJ482" t="s">
        <v>549</v>
      </c>
      <c r="BK482" t="s">
        <v>94</v>
      </c>
      <c r="BL482" t="s">
        <v>549</v>
      </c>
      <c r="BM482" t="s">
        <v>7148</v>
      </c>
      <c r="BN482" t="s">
        <v>74</v>
      </c>
      <c r="BO482" t="s">
        <v>74</v>
      </c>
      <c r="BP482" t="s">
        <v>74</v>
      </c>
      <c r="BQ482" t="s">
        <v>74</v>
      </c>
      <c r="BR482" t="s">
        <v>97</v>
      </c>
      <c r="BS482" t="s">
        <v>7162</v>
      </c>
      <c r="BT482" t="str">
        <f>HYPERLINK("https%3A%2F%2Fwww.webofscience.com%2Fwos%2Fwoscc%2Ffull-record%2FWOS:000183515700007","View Full Record in Web of Science")</f>
        <v>View Full Record in Web of Science</v>
      </c>
    </row>
    <row r="483" spans="1:72" x14ac:dyDescent="0.15">
      <c r="A483" t="s">
        <v>72</v>
      </c>
      <c r="B483" t="s">
        <v>2665</v>
      </c>
      <c r="C483" t="s">
        <v>74</v>
      </c>
      <c r="D483" t="s">
        <v>74</v>
      </c>
      <c r="E483" t="s">
        <v>74</v>
      </c>
      <c r="F483" t="s">
        <v>2665</v>
      </c>
      <c r="G483" t="s">
        <v>74</v>
      </c>
      <c r="H483" t="s">
        <v>74</v>
      </c>
      <c r="I483" t="s">
        <v>7163</v>
      </c>
      <c r="J483" t="s">
        <v>7164</v>
      </c>
      <c r="K483" t="s">
        <v>74</v>
      </c>
      <c r="L483" t="s">
        <v>74</v>
      </c>
      <c r="M483" t="s">
        <v>77</v>
      </c>
      <c r="N483" t="s">
        <v>78</v>
      </c>
      <c r="O483" t="s">
        <v>74</v>
      </c>
      <c r="P483" t="s">
        <v>74</v>
      </c>
      <c r="Q483" t="s">
        <v>74</v>
      </c>
      <c r="R483" t="s">
        <v>74</v>
      </c>
      <c r="S483" t="s">
        <v>74</v>
      </c>
      <c r="T483" t="s">
        <v>74</v>
      </c>
      <c r="U483" t="s">
        <v>7165</v>
      </c>
      <c r="V483" t="s">
        <v>7166</v>
      </c>
      <c r="W483" t="s">
        <v>7167</v>
      </c>
      <c r="X483" t="s">
        <v>2671</v>
      </c>
      <c r="Y483" t="s">
        <v>4920</v>
      </c>
      <c r="Z483" t="s">
        <v>7168</v>
      </c>
      <c r="AA483" t="s">
        <v>2674</v>
      </c>
      <c r="AB483" t="s">
        <v>2675</v>
      </c>
      <c r="AC483" t="s">
        <v>74</v>
      </c>
      <c r="AD483" t="s">
        <v>74</v>
      </c>
      <c r="AE483" t="s">
        <v>74</v>
      </c>
      <c r="AF483" t="s">
        <v>74</v>
      </c>
      <c r="AG483">
        <v>61</v>
      </c>
      <c r="AH483">
        <v>52</v>
      </c>
      <c r="AI483">
        <v>52</v>
      </c>
      <c r="AJ483">
        <v>2</v>
      </c>
      <c r="AK483">
        <v>13</v>
      </c>
      <c r="AL483" t="s">
        <v>250</v>
      </c>
      <c r="AM483" t="s">
        <v>251</v>
      </c>
      <c r="AN483" t="s">
        <v>252</v>
      </c>
      <c r="AO483" t="s">
        <v>7169</v>
      </c>
      <c r="AP483" t="s">
        <v>7170</v>
      </c>
      <c r="AQ483" t="s">
        <v>74</v>
      </c>
      <c r="AR483" t="s">
        <v>7164</v>
      </c>
      <c r="AS483" t="s">
        <v>7171</v>
      </c>
      <c r="AT483" t="s">
        <v>6124</v>
      </c>
      <c r="AU483">
        <v>2003</v>
      </c>
      <c r="AV483">
        <v>15</v>
      </c>
      <c r="AW483">
        <v>3</v>
      </c>
      <c r="AX483" t="s">
        <v>74</v>
      </c>
      <c r="AY483" t="s">
        <v>74</v>
      </c>
      <c r="AZ483" t="s">
        <v>74</v>
      </c>
      <c r="BA483" t="s">
        <v>74</v>
      </c>
      <c r="BB483">
        <v>163</v>
      </c>
      <c r="BC483">
        <v>169</v>
      </c>
      <c r="BD483" t="s">
        <v>74</v>
      </c>
      <c r="BE483" t="s">
        <v>7172</v>
      </c>
      <c r="BF483" t="str">
        <f>HYPERLINK("http://dx.doi.org/10.1046/j.1365-3121.2003.00485.x","http://dx.doi.org/10.1046/j.1365-3121.2003.00485.x")</f>
        <v>http://dx.doi.org/10.1046/j.1365-3121.2003.00485.x</v>
      </c>
      <c r="BG483" t="s">
        <v>74</v>
      </c>
      <c r="BH483" t="s">
        <v>74</v>
      </c>
      <c r="BI483">
        <v>7</v>
      </c>
      <c r="BJ483" t="s">
        <v>548</v>
      </c>
      <c r="BK483" t="s">
        <v>94</v>
      </c>
      <c r="BL483" t="s">
        <v>549</v>
      </c>
      <c r="BM483" t="s">
        <v>7173</v>
      </c>
      <c r="BN483" t="s">
        <v>74</v>
      </c>
      <c r="BO483" t="s">
        <v>74</v>
      </c>
      <c r="BP483" t="s">
        <v>74</v>
      </c>
      <c r="BQ483" t="s">
        <v>74</v>
      </c>
      <c r="BR483" t="s">
        <v>97</v>
      </c>
      <c r="BS483" t="s">
        <v>7174</v>
      </c>
      <c r="BT483" t="str">
        <f>HYPERLINK("https%3A%2F%2Fwww.webofscience.com%2Fwos%2Fwoscc%2Ffull-record%2FWOS:000183348800004","View Full Record in Web of Science")</f>
        <v>View Full Record in Web of Science</v>
      </c>
    </row>
    <row r="484" spans="1:72" x14ac:dyDescent="0.15">
      <c r="A484" t="s">
        <v>72</v>
      </c>
      <c r="B484" t="s">
        <v>7175</v>
      </c>
      <c r="C484" t="s">
        <v>74</v>
      </c>
      <c r="D484" t="s">
        <v>74</v>
      </c>
      <c r="E484" t="s">
        <v>74</v>
      </c>
      <c r="F484" t="s">
        <v>7175</v>
      </c>
      <c r="G484" t="s">
        <v>74</v>
      </c>
      <c r="H484" t="s">
        <v>74</v>
      </c>
      <c r="I484" t="s">
        <v>7176</v>
      </c>
      <c r="J484" t="s">
        <v>7164</v>
      </c>
      <c r="K484" t="s">
        <v>74</v>
      </c>
      <c r="L484" t="s">
        <v>74</v>
      </c>
      <c r="M484" t="s">
        <v>77</v>
      </c>
      <c r="N484" t="s">
        <v>78</v>
      </c>
      <c r="O484" t="s">
        <v>74</v>
      </c>
      <c r="P484" t="s">
        <v>74</v>
      </c>
      <c r="Q484" t="s">
        <v>74</v>
      </c>
      <c r="R484" t="s">
        <v>74</v>
      </c>
      <c r="S484" t="s">
        <v>74</v>
      </c>
      <c r="T484" t="s">
        <v>74</v>
      </c>
      <c r="U484" t="s">
        <v>7177</v>
      </c>
      <c r="V484" t="s">
        <v>7178</v>
      </c>
      <c r="W484" t="s">
        <v>7179</v>
      </c>
      <c r="X484" t="s">
        <v>7180</v>
      </c>
      <c r="Y484" t="s">
        <v>7181</v>
      </c>
      <c r="Z484" t="s">
        <v>74</v>
      </c>
      <c r="AA484" t="s">
        <v>7182</v>
      </c>
      <c r="AB484" t="s">
        <v>7183</v>
      </c>
      <c r="AC484" t="s">
        <v>74</v>
      </c>
      <c r="AD484" t="s">
        <v>74</v>
      </c>
      <c r="AE484" t="s">
        <v>74</v>
      </c>
      <c r="AF484" t="s">
        <v>74</v>
      </c>
      <c r="AG484">
        <v>25</v>
      </c>
      <c r="AH484">
        <v>25</v>
      </c>
      <c r="AI484">
        <v>27</v>
      </c>
      <c r="AJ484">
        <v>0</v>
      </c>
      <c r="AK484">
        <v>10</v>
      </c>
      <c r="AL484" t="s">
        <v>289</v>
      </c>
      <c r="AM484" t="s">
        <v>170</v>
      </c>
      <c r="AN484" t="s">
        <v>290</v>
      </c>
      <c r="AO484" t="s">
        <v>7169</v>
      </c>
      <c r="AP484" t="s">
        <v>74</v>
      </c>
      <c r="AQ484" t="s">
        <v>74</v>
      </c>
      <c r="AR484" t="s">
        <v>7164</v>
      </c>
      <c r="AS484" t="s">
        <v>7171</v>
      </c>
      <c r="AT484" t="s">
        <v>6124</v>
      </c>
      <c r="AU484">
        <v>2003</v>
      </c>
      <c r="AV484">
        <v>15</v>
      </c>
      <c r="AW484">
        <v>3</v>
      </c>
      <c r="AX484" t="s">
        <v>74</v>
      </c>
      <c r="AY484" t="s">
        <v>74</v>
      </c>
      <c r="AZ484" t="s">
        <v>74</v>
      </c>
      <c r="BA484" t="s">
        <v>74</v>
      </c>
      <c r="BB484">
        <v>194</v>
      </c>
      <c r="BC484">
        <v>203</v>
      </c>
      <c r="BD484" t="s">
        <v>74</v>
      </c>
      <c r="BE484" t="s">
        <v>7184</v>
      </c>
      <c r="BF484" t="str">
        <f>HYPERLINK("http://dx.doi.org/10.1046/j.1365-3121.2003.00482.x","http://dx.doi.org/10.1046/j.1365-3121.2003.00482.x")</f>
        <v>http://dx.doi.org/10.1046/j.1365-3121.2003.00482.x</v>
      </c>
      <c r="BG484" t="s">
        <v>74</v>
      </c>
      <c r="BH484" t="s">
        <v>74</v>
      </c>
      <c r="BI484">
        <v>10</v>
      </c>
      <c r="BJ484" t="s">
        <v>548</v>
      </c>
      <c r="BK484" t="s">
        <v>94</v>
      </c>
      <c r="BL484" t="s">
        <v>549</v>
      </c>
      <c r="BM484" t="s">
        <v>7173</v>
      </c>
      <c r="BN484" t="s">
        <v>74</v>
      </c>
      <c r="BO484" t="s">
        <v>74</v>
      </c>
      <c r="BP484" t="s">
        <v>74</v>
      </c>
      <c r="BQ484" t="s">
        <v>74</v>
      </c>
      <c r="BR484" t="s">
        <v>97</v>
      </c>
      <c r="BS484" t="s">
        <v>7185</v>
      </c>
      <c r="BT484" t="str">
        <f>HYPERLINK("https%3A%2F%2Fwww.webofscience.com%2Fwos%2Fwoscc%2Ffull-record%2FWOS:000183348800008","View Full Record in Web of Science")</f>
        <v>View Full Record in Web of Science</v>
      </c>
    </row>
    <row r="485" spans="1:72" x14ac:dyDescent="0.15">
      <c r="A485" t="s">
        <v>72</v>
      </c>
      <c r="B485" t="s">
        <v>7186</v>
      </c>
      <c r="C485" t="s">
        <v>74</v>
      </c>
      <c r="D485" t="s">
        <v>74</v>
      </c>
      <c r="E485" t="s">
        <v>74</v>
      </c>
      <c r="F485" t="s">
        <v>7186</v>
      </c>
      <c r="G485" t="s">
        <v>74</v>
      </c>
      <c r="H485" t="s">
        <v>74</v>
      </c>
      <c r="I485" t="s">
        <v>7187</v>
      </c>
      <c r="J485" t="s">
        <v>7188</v>
      </c>
      <c r="K485" t="s">
        <v>74</v>
      </c>
      <c r="L485" t="s">
        <v>74</v>
      </c>
      <c r="M485" t="s">
        <v>77</v>
      </c>
      <c r="N485" t="s">
        <v>7189</v>
      </c>
      <c r="O485" t="s">
        <v>74</v>
      </c>
      <c r="P485" t="s">
        <v>74</v>
      </c>
      <c r="Q485" t="s">
        <v>74</v>
      </c>
      <c r="R485" t="s">
        <v>74</v>
      </c>
      <c r="S485" t="s">
        <v>74</v>
      </c>
      <c r="T485" t="s">
        <v>74</v>
      </c>
      <c r="U485" t="s">
        <v>74</v>
      </c>
      <c r="V485" t="s">
        <v>74</v>
      </c>
      <c r="W485" t="s">
        <v>7190</v>
      </c>
      <c r="X485" t="s">
        <v>7191</v>
      </c>
      <c r="Y485" t="s">
        <v>7192</v>
      </c>
      <c r="Z485" t="s">
        <v>74</v>
      </c>
      <c r="AA485" t="s">
        <v>7193</v>
      </c>
      <c r="AB485" t="s">
        <v>74</v>
      </c>
      <c r="AC485" t="s">
        <v>74</v>
      </c>
      <c r="AD485" t="s">
        <v>74</v>
      </c>
      <c r="AE485" t="s">
        <v>74</v>
      </c>
      <c r="AF485" t="s">
        <v>74</v>
      </c>
      <c r="AG485">
        <v>1</v>
      </c>
      <c r="AH485">
        <v>1</v>
      </c>
      <c r="AI485">
        <v>1</v>
      </c>
      <c r="AJ485">
        <v>0</v>
      </c>
      <c r="AK485">
        <v>6</v>
      </c>
      <c r="AL485" t="s">
        <v>566</v>
      </c>
      <c r="AM485" t="s">
        <v>170</v>
      </c>
      <c r="AN485" t="s">
        <v>567</v>
      </c>
      <c r="AO485" t="s">
        <v>7194</v>
      </c>
      <c r="AP485" t="s">
        <v>74</v>
      </c>
      <c r="AQ485" t="s">
        <v>74</v>
      </c>
      <c r="AR485" t="s">
        <v>7195</v>
      </c>
      <c r="AS485" t="s">
        <v>7196</v>
      </c>
      <c r="AT485" t="s">
        <v>6124</v>
      </c>
      <c r="AU485">
        <v>2003</v>
      </c>
      <c r="AV485">
        <v>24</v>
      </c>
      <c r="AW485">
        <v>3</v>
      </c>
      <c r="AX485" t="s">
        <v>74</v>
      </c>
      <c r="AY485" t="s">
        <v>74</v>
      </c>
      <c r="AZ485" t="s">
        <v>74</v>
      </c>
      <c r="BA485" t="s">
        <v>74</v>
      </c>
      <c r="BB485">
        <v>345</v>
      </c>
      <c r="BC485">
        <v>346</v>
      </c>
      <c r="BD485" t="s">
        <v>7197</v>
      </c>
      <c r="BE485" t="s">
        <v>7198</v>
      </c>
      <c r="BF485" t="str">
        <f>HYPERLINK("http://dx.doi.org/10.1016/S0261-5177(02)00077-8","http://dx.doi.org/10.1016/S0261-5177(02)00077-8")</f>
        <v>http://dx.doi.org/10.1016/S0261-5177(02)00077-8</v>
      </c>
      <c r="BG485" t="s">
        <v>74</v>
      </c>
      <c r="BH485" t="s">
        <v>74</v>
      </c>
      <c r="BI485">
        <v>2</v>
      </c>
      <c r="BJ485" t="s">
        <v>7199</v>
      </c>
      <c r="BK485" t="s">
        <v>7200</v>
      </c>
      <c r="BL485" t="s">
        <v>7201</v>
      </c>
      <c r="BM485" t="s">
        <v>7202</v>
      </c>
      <c r="BN485" t="s">
        <v>74</v>
      </c>
      <c r="BO485" t="s">
        <v>74</v>
      </c>
      <c r="BP485" t="s">
        <v>74</v>
      </c>
      <c r="BQ485" t="s">
        <v>74</v>
      </c>
      <c r="BR485" t="s">
        <v>97</v>
      </c>
      <c r="BS485" t="s">
        <v>7203</v>
      </c>
      <c r="BT485" t="str">
        <f>HYPERLINK("https%3A%2F%2Fwww.webofscience.com%2Fwos%2Fwoscc%2Ffull-record%2FWOS:000183609000011","View Full Record in Web of Science")</f>
        <v>View Full Record in Web of Science</v>
      </c>
    </row>
    <row r="486" spans="1:72" x14ac:dyDescent="0.15">
      <c r="A486" t="s">
        <v>72</v>
      </c>
      <c r="B486" t="s">
        <v>7204</v>
      </c>
      <c r="C486" t="s">
        <v>74</v>
      </c>
      <c r="D486" t="s">
        <v>74</v>
      </c>
      <c r="E486" t="s">
        <v>74</v>
      </c>
      <c r="F486" t="s">
        <v>7204</v>
      </c>
      <c r="G486" t="s">
        <v>74</v>
      </c>
      <c r="H486" t="s">
        <v>74</v>
      </c>
      <c r="I486" t="s">
        <v>7205</v>
      </c>
      <c r="J486" t="s">
        <v>2532</v>
      </c>
      <c r="K486" t="s">
        <v>74</v>
      </c>
      <c r="L486" t="s">
        <v>74</v>
      </c>
      <c r="M486" t="s">
        <v>77</v>
      </c>
      <c r="N486" t="s">
        <v>78</v>
      </c>
      <c r="O486" t="s">
        <v>74</v>
      </c>
      <c r="P486" t="s">
        <v>74</v>
      </c>
      <c r="Q486" t="s">
        <v>74</v>
      </c>
      <c r="R486" t="s">
        <v>74</v>
      </c>
      <c r="S486" t="s">
        <v>74</v>
      </c>
      <c r="T486" t="s">
        <v>7206</v>
      </c>
      <c r="U486" t="s">
        <v>7207</v>
      </c>
      <c r="V486" t="s">
        <v>7208</v>
      </c>
      <c r="W486" t="s">
        <v>7209</v>
      </c>
      <c r="X486" t="s">
        <v>706</v>
      </c>
      <c r="Y486" t="s">
        <v>7210</v>
      </c>
      <c r="Z486" t="s">
        <v>74</v>
      </c>
      <c r="AA486" t="s">
        <v>74</v>
      </c>
      <c r="AB486" t="s">
        <v>6648</v>
      </c>
      <c r="AC486" t="s">
        <v>74</v>
      </c>
      <c r="AD486" t="s">
        <v>74</v>
      </c>
      <c r="AE486" t="s">
        <v>74</v>
      </c>
      <c r="AF486" t="s">
        <v>74</v>
      </c>
      <c r="AG486">
        <v>23</v>
      </c>
      <c r="AH486">
        <v>45</v>
      </c>
      <c r="AI486">
        <v>47</v>
      </c>
      <c r="AJ486">
        <v>0</v>
      </c>
      <c r="AK486">
        <v>6</v>
      </c>
      <c r="AL486" t="s">
        <v>2540</v>
      </c>
      <c r="AM486" t="s">
        <v>540</v>
      </c>
      <c r="AN486" t="s">
        <v>2541</v>
      </c>
      <c r="AO486" t="s">
        <v>2542</v>
      </c>
      <c r="AP486" t="s">
        <v>74</v>
      </c>
      <c r="AQ486" t="s">
        <v>74</v>
      </c>
      <c r="AR486" t="s">
        <v>2532</v>
      </c>
      <c r="AS486" t="s">
        <v>2544</v>
      </c>
      <c r="AT486" t="s">
        <v>6124</v>
      </c>
      <c r="AU486">
        <v>2003</v>
      </c>
      <c r="AV486">
        <v>26</v>
      </c>
      <c r="AW486">
        <v>2</v>
      </c>
      <c r="AX486" t="s">
        <v>74</v>
      </c>
      <c r="AY486" t="s">
        <v>74</v>
      </c>
      <c r="AZ486" t="s">
        <v>74</v>
      </c>
      <c r="BA486" t="s">
        <v>74</v>
      </c>
      <c r="BB486">
        <v>169</v>
      </c>
      <c r="BC486">
        <v>175</v>
      </c>
      <c r="BD486" t="s">
        <v>74</v>
      </c>
      <c r="BE486" t="s">
        <v>7211</v>
      </c>
      <c r="BF486" t="str">
        <f>HYPERLINK("http://dx.doi.org/10.1675/1524-4695(2003)026[0169:ROHRPP]2.0.CO;2","http://dx.doi.org/10.1675/1524-4695(2003)026[0169:ROHRPP]2.0.CO;2")</f>
        <v>http://dx.doi.org/10.1675/1524-4695(2003)026[0169:ROHRPP]2.0.CO;2</v>
      </c>
      <c r="BG486" t="s">
        <v>74</v>
      </c>
      <c r="BH486" t="s">
        <v>74</v>
      </c>
      <c r="BI486">
        <v>7</v>
      </c>
      <c r="BJ486" t="s">
        <v>2546</v>
      </c>
      <c r="BK486" t="s">
        <v>94</v>
      </c>
      <c r="BL486" t="s">
        <v>258</v>
      </c>
      <c r="BM486" t="s">
        <v>7212</v>
      </c>
      <c r="BN486" t="s">
        <v>74</v>
      </c>
      <c r="BO486" t="s">
        <v>74</v>
      </c>
      <c r="BP486" t="s">
        <v>74</v>
      </c>
      <c r="BQ486" t="s">
        <v>74</v>
      </c>
      <c r="BR486" t="s">
        <v>97</v>
      </c>
      <c r="BS486" t="s">
        <v>7213</v>
      </c>
      <c r="BT486" t="str">
        <f>HYPERLINK("https%3A%2F%2Fwww.webofscience.com%2Fwos%2Fwoscc%2Ffull-record%2FWOS:000183409300007","View Full Record in Web of Science")</f>
        <v>View Full Record in Web of Science</v>
      </c>
    </row>
    <row r="487" spans="1:72" x14ac:dyDescent="0.15">
      <c r="A487" t="s">
        <v>72</v>
      </c>
      <c r="B487" t="s">
        <v>7214</v>
      </c>
      <c r="C487" t="s">
        <v>74</v>
      </c>
      <c r="D487" t="s">
        <v>74</v>
      </c>
      <c r="E487" t="s">
        <v>74</v>
      </c>
      <c r="F487" t="s">
        <v>7214</v>
      </c>
      <c r="G487" t="s">
        <v>74</v>
      </c>
      <c r="H487" t="s">
        <v>74</v>
      </c>
      <c r="I487" t="s">
        <v>7215</v>
      </c>
      <c r="J487" t="s">
        <v>7216</v>
      </c>
      <c r="K487" t="s">
        <v>74</v>
      </c>
      <c r="L487" t="s">
        <v>74</v>
      </c>
      <c r="M487" t="s">
        <v>77</v>
      </c>
      <c r="N487" t="s">
        <v>78</v>
      </c>
      <c r="O487" t="s">
        <v>74</v>
      </c>
      <c r="P487" t="s">
        <v>74</v>
      </c>
      <c r="Q487" t="s">
        <v>74</v>
      </c>
      <c r="R487" t="s">
        <v>74</v>
      </c>
      <c r="S487" t="s">
        <v>74</v>
      </c>
      <c r="T487" t="s">
        <v>74</v>
      </c>
      <c r="U487" t="s">
        <v>7217</v>
      </c>
      <c r="V487" t="s">
        <v>7218</v>
      </c>
      <c r="W487" t="s">
        <v>705</v>
      </c>
      <c r="X487" t="s">
        <v>706</v>
      </c>
      <c r="Y487" t="s">
        <v>7219</v>
      </c>
      <c r="Z487" t="s">
        <v>74</v>
      </c>
      <c r="AA487" t="s">
        <v>74</v>
      </c>
      <c r="AB487" t="s">
        <v>74</v>
      </c>
      <c r="AC487" t="s">
        <v>74</v>
      </c>
      <c r="AD487" t="s">
        <v>74</v>
      </c>
      <c r="AE487" t="s">
        <v>74</v>
      </c>
      <c r="AF487" t="s">
        <v>74</v>
      </c>
      <c r="AG487">
        <v>8</v>
      </c>
      <c r="AH487">
        <v>24</v>
      </c>
      <c r="AI487">
        <v>27</v>
      </c>
      <c r="AJ487">
        <v>0</v>
      </c>
      <c r="AK487">
        <v>3</v>
      </c>
      <c r="AL487" t="s">
        <v>85</v>
      </c>
      <c r="AM487" t="s">
        <v>86</v>
      </c>
      <c r="AN487" t="s">
        <v>87</v>
      </c>
      <c r="AO487" t="s">
        <v>7220</v>
      </c>
      <c r="AP487" t="s">
        <v>74</v>
      </c>
      <c r="AQ487" t="s">
        <v>74</v>
      </c>
      <c r="AR487" t="s">
        <v>7221</v>
      </c>
      <c r="AS487" t="s">
        <v>7222</v>
      </c>
      <c r="AT487" t="s">
        <v>6124</v>
      </c>
      <c r="AU487">
        <v>2003</v>
      </c>
      <c r="AV487">
        <v>18</v>
      </c>
      <c r="AW487">
        <v>3</v>
      </c>
      <c r="AX487" t="s">
        <v>74</v>
      </c>
      <c r="AY487" t="s">
        <v>74</v>
      </c>
      <c r="AZ487" t="s">
        <v>74</v>
      </c>
      <c r="BA487" t="s">
        <v>74</v>
      </c>
      <c r="BB487">
        <v>536</v>
      </c>
      <c r="BC487">
        <v>540</v>
      </c>
      <c r="BD487" t="s">
        <v>74</v>
      </c>
      <c r="BE487" t="s">
        <v>7223</v>
      </c>
      <c r="BF487" t="str">
        <f>HYPERLINK("http://dx.doi.org/10.1175/1520-0434(2003)18&lt;536:VOESLP&gt;2.0.CO;2","http://dx.doi.org/10.1175/1520-0434(2003)18&lt;536:VOESLP&gt;2.0.CO;2")</f>
        <v>http://dx.doi.org/10.1175/1520-0434(2003)18&lt;536:VOESLP&gt;2.0.CO;2</v>
      </c>
      <c r="BG487" t="s">
        <v>74</v>
      </c>
      <c r="BH487" t="s">
        <v>74</v>
      </c>
      <c r="BI487">
        <v>5</v>
      </c>
      <c r="BJ487" t="s">
        <v>93</v>
      </c>
      <c r="BK487" t="s">
        <v>94</v>
      </c>
      <c r="BL487" t="s">
        <v>93</v>
      </c>
      <c r="BM487" t="s">
        <v>7224</v>
      </c>
      <c r="BN487" t="s">
        <v>74</v>
      </c>
      <c r="BO487" t="s">
        <v>7225</v>
      </c>
      <c r="BP487" t="s">
        <v>74</v>
      </c>
      <c r="BQ487" t="s">
        <v>74</v>
      </c>
      <c r="BR487" t="s">
        <v>97</v>
      </c>
      <c r="BS487" t="s">
        <v>7226</v>
      </c>
      <c r="BT487" t="str">
        <f>HYPERLINK("https%3A%2F%2Fwww.webofscience.com%2Fwos%2Fwoscc%2Ffull-record%2FWOS:000183655300010","View Full Record in Web of Science")</f>
        <v>View Full Record in Web of Science</v>
      </c>
    </row>
    <row r="488" spans="1:72" x14ac:dyDescent="0.15">
      <c r="A488" t="s">
        <v>72</v>
      </c>
      <c r="B488" t="s">
        <v>7227</v>
      </c>
      <c r="C488" t="s">
        <v>74</v>
      </c>
      <c r="D488" t="s">
        <v>74</v>
      </c>
      <c r="E488" t="s">
        <v>74</v>
      </c>
      <c r="F488" t="s">
        <v>7227</v>
      </c>
      <c r="G488" t="s">
        <v>74</v>
      </c>
      <c r="H488" t="s">
        <v>74</v>
      </c>
      <c r="I488" t="s">
        <v>7228</v>
      </c>
      <c r="J488" t="s">
        <v>665</v>
      </c>
      <c r="K488" t="s">
        <v>74</v>
      </c>
      <c r="L488" t="s">
        <v>74</v>
      </c>
      <c r="M488" t="s">
        <v>77</v>
      </c>
      <c r="N488" t="s">
        <v>78</v>
      </c>
      <c r="O488" t="s">
        <v>74</v>
      </c>
      <c r="P488" t="s">
        <v>74</v>
      </c>
      <c r="Q488" t="s">
        <v>74</v>
      </c>
      <c r="R488" t="s">
        <v>74</v>
      </c>
      <c r="S488" t="s">
        <v>74</v>
      </c>
      <c r="T488" t="s">
        <v>7229</v>
      </c>
      <c r="U488" t="s">
        <v>7230</v>
      </c>
      <c r="V488" t="s">
        <v>7231</v>
      </c>
      <c r="W488" t="s">
        <v>7232</v>
      </c>
      <c r="X488" t="s">
        <v>7233</v>
      </c>
      <c r="Y488" t="s">
        <v>2683</v>
      </c>
      <c r="Z488" t="s">
        <v>7234</v>
      </c>
      <c r="AA488" t="s">
        <v>5346</v>
      </c>
      <c r="AB488" t="s">
        <v>5347</v>
      </c>
      <c r="AC488" t="s">
        <v>74</v>
      </c>
      <c r="AD488" t="s">
        <v>74</v>
      </c>
      <c r="AE488" t="s">
        <v>74</v>
      </c>
      <c r="AF488" t="s">
        <v>74</v>
      </c>
      <c r="AG488">
        <v>23</v>
      </c>
      <c r="AH488">
        <v>322</v>
      </c>
      <c r="AI488">
        <v>346</v>
      </c>
      <c r="AJ488">
        <v>4</v>
      </c>
      <c r="AK488">
        <v>56</v>
      </c>
      <c r="AL488" t="s">
        <v>539</v>
      </c>
      <c r="AM488" t="s">
        <v>540</v>
      </c>
      <c r="AN488" t="s">
        <v>541</v>
      </c>
      <c r="AO488" t="s">
        <v>672</v>
      </c>
      <c r="AP488" t="s">
        <v>673</v>
      </c>
      <c r="AQ488" t="s">
        <v>74</v>
      </c>
      <c r="AR488" t="s">
        <v>674</v>
      </c>
      <c r="AS488" t="s">
        <v>675</v>
      </c>
      <c r="AT488" t="s">
        <v>7235</v>
      </c>
      <c r="AU488">
        <v>2003</v>
      </c>
      <c r="AV488">
        <v>108</v>
      </c>
      <c r="AW488" t="s">
        <v>7236</v>
      </c>
      <c r="AX488" t="s">
        <v>74</v>
      </c>
      <c r="AY488" t="s">
        <v>74</v>
      </c>
      <c r="AZ488" t="s">
        <v>74</v>
      </c>
      <c r="BA488" t="s">
        <v>74</v>
      </c>
      <c r="BB488" t="s">
        <v>74</v>
      </c>
      <c r="BC488" t="s">
        <v>74</v>
      </c>
      <c r="BD488">
        <v>8084</v>
      </c>
      <c r="BE488" t="s">
        <v>7237</v>
      </c>
      <c r="BF488" t="str">
        <f>HYPERLINK("http://dx.doi.org/10.1029/2001JC001147","http://dx.doi.org/10.1029/2001JC001147")</f>
        <v>http://dx.doi.org/10.1029/2001JC001147</v>
      </c>
      <c r="BG488" t="s">
        <v>74</v>
      </c>
      <c r="BH488" t="s">
        <v>74</v>
      </c>
      <c r="BI488">
        <v>17</v>
      </c>
      <c r="BJ488" t="s">
        <v>678</v>
      </c>
      <c r="BK488" t="s">
        <v>94</v>
      </c>
      <c r="BL488" t="s">
        <v>678</v>
      </c>
      <c r="BM488" t="s">
        <v>7238</v>
      </c>
      <c r="BN488" t="s">
        <v>74</v>
      </c>
      <c r="BO488" t="s">
        <v>1619</v>
      </c>
      <c r="BP488" t="s">
        <v>74</v>
      </c>
      <c r="BQ488" t="s">
        <v>74</v>
      </c>
      <c r="BR488" t="s">
        <v>97</v>
      </c>
      <c r="BS488" t="s">
        <v>7239</v>
      </c>
      <c r="BT488" t="str">
        <f>HYPERLINK("https%3A%2F%2Fwww.webofscience.com%2Fwos%2Fwoscc%2Ffull-record%2FWOS:000183303600002","View Full Record in Web of Science")</f>
        <v>View Full Record in Web of Science</v>
      </c>
    </row>
    <row r="489" spans="1:72" x14ac:dyDescent="0.15">
      <c r="A489" t="s">
        <v>72</v>
      </c>
      <c r="B489" t="s">
        <v>7240</v>
      </c>
      <c r="C489" t="s">
        <v>74</v>
      </c>
      <c r="D489" t="s">
        <v>74</v>
      </c>
      <c r="E489" t="s">
        <v>74</v>
      </c>
      <c r="F489" t="s">
        <v>7240</v>
      </c>
      <c r="G489" t="s">
        <v>74</v>
      </c>
      <c r="H489" t="s">
        <v>74</v>
      </c>
      <c r="I489" t="s">
        <v>7241</v>
      </c>
      <c r="J489" t="s">
        <v>6083</v>
      </c>
      <c r="K489" t="s">
        <v>74</v>
      </c>
      <c r="L489" t="s">
        <v>74</v>
      </c>
      <c r="M489" t="s">
        <v>77</v>
      </c>
      <c r="N489" t="s">
        <v>78</v>
      </c>
      <c r="O489" t="s">
        <v>74</v>
      </c>
      <c r="P489" t="s">
        <v>74</v>
      </c>
      <c r="Q489" t="s">
        <v>74</v>
      </c>
      <c r="R489" t="s">
        <v>74</v>
      </c>
      <c r="S489" t="s">
        <v>74</v>
      </c>
      <c r="T489" t="s">
        <v>7242</v>
      </c>
      <c r="U489" t="s">
        <v>7243</v>
      </c>
      <c r="V489" t="s">
        <v>7244</v>
      </c>
      <c r="W489" t="s">
        <v>7245</v>
      </c>
      <c r="X489" t="s">
        <v>7246</v>
      </c>
      <c r="Y489" t="s">
        <v>7247</v>
      </c>
      <c r="Z489" t="s">
        <v>74</v>
      </c>
      <c r="AA489" t="s">
        <v>7248</v>
      </c>
      <c r="AB489" t="s">
        <v>7249</v>
      </c>
      <c r="AC489" t="s">
        <v>74</v>
      </c>
      <c r="AD489" t="s">
        <v>74</v>
      </c>
      <c r="AE489" t="s">
        <v>74</v>
      </c>
      <c r="AF489" t="s">
        <v>74</v>
      </c>
      <c r="AG489">
        <v>16</v>
      </c>
      <c r="AH489">
        <v>7</v>
      </c>
      <c r="AI489">
        <v>7</v>
      </c>
      <c r="AJ489">
        <v>0</v>
      </c>
      <c r="AK489">
        <v>3</v>
      </c>
      <c r="AL489" t="s">
        <v>539</v>
      </c>
      <c r="AM489" t="s">
        <v>540</v>
      </c>
      <c r="AN489" t="s">
        <v>541</v>
      </c>
      <c r="AO489" t="s">
        <v>6089</v>
      </c>
      <c r="AP489" t="s">
        <v>74</v>
      </c>
      <c r="AQ489" t="s">
        <v>74</v>
      </c>
      <c r="AR489" t="s">
        <v>6091</v>
      </c>
      <c r="AS489" t="s">
        <v>6092</v>
      </c>
      <c r="AT489" t="s">
        <v>7250</v>
      </c>
      <c r="AU489">
        <v>2003</v>
      </c>
      <c r="AV489">
        <v>38</v>
      </c>
      <c r="AW489">
        <v>4</v>
      </c>
      <c r="AX489" t="s">
        <v>74</v>
      </c>
      <c r="AY489" t="s">
        <v>74</v>
      </c>
      <c r="AZ489" t="s">
        <v>74</v>
      </c>
      <c r="BA489" t="s">
        <v>74</v>
      </c>
      <c r="BB489" t="s">
        <v>74</v>
      </c>
      <c r="BC489" t="s">
        <v>74</v>
      </c>
      <c r="BD489">
        <v>8061</v>
      </c>
      <c r="BE489" t="s">
        <v>7251</v>
      </c>
      <c r="BF489" t="str">
        <f>HYPERLINK("http://dx.doi.org/10.1029/2002RS002669","http://dx.doi.org/10.1029/2002RS002669")</f>
        <v>http://dx.doi.org/10.1029/2002RS002669</v>
      </c>
      <c r="BG489" t="s">
        <v>74</v>
      </c>
      <c r="BH489" t="s">
        <v>74</v>
      </c>
      <c r="BI489">
        <v>8</v>
      </c>
      <c r="BJ489" t="s">
        <v>6094</v>
      </c>
      <c r="BK489" t="s">
        <v>94</v>
      </c>
      <c r="BL489" t="s">
        <v>6094</v>
      </c>
      <c r="BM489" t="s">
        <v>7252</v>
      </c>
      <c r="BN489" t="s">
        <v>74</v>
      </c>
      <c r="BO489" t="s">
        <v>96</v>
      </c>
      <c r="BP489" t="s">
        <v>74</v>
      </c>
      <c r="BQ489" t="s">
        <v>74</v>
      </c>
      <c r="BR489" t="s">
        <v>97</v>
      </c>
      <c r="BS489" t="s">
        <v>7253</v>
      </c>
      <c r="BT489" t="str">
        <f>HYPERLINK("https%3A%2F%2Fwww.webofscience.com%2Fwos%2Fwoscc%2Ffull-record%2FWOS:000183304500002","View Full Record in Web of Science")</f>
        <v>View Full Record in Web of Science</v>
      </c>
    </row>
    <row r="490" spans="1:72" x14ac:dyDescent="0.15">
      <c r="A490" t="s">
        <v>72</v>
      </c>
      <c r="B490" t="s">
        <v>7254</v>
      </c>
      <c r="C490" t="s">
        <v>74</v>
      </c>
      <c r="D490" t="s">
        <v>74</v>
      </c>
      <c r="E490" t="s">
        <v>74</v>
      </c>
      <c r="F490" t="s">
        <v>7254</v>
      </c>
      <c r="G490" t="s">
        <v>74</v>
      </c>
      <c r="H490" t="s">
        <v>74</v>
      </c>
      <c r="I490" t="s">
        <v>7255</v>
      </c>
      <c r="J490" t="s">
        <v>665</v>
      </c>
      <c r="K490" t="s">
        <v>74</v>
      </c>
      <c r="L490" t="s">
        <v>74</v>
      </c>
      <c r="M490" t="s">
        <v>77</v>
      </c>
      <c r="N490" t="s">
        <v>78</v>
      </c>
      <c r="O490" t="s">
        <v>74</v>
      </c>
      <c r="P490" t="s">
        <v>74</v>
      </c>
      <c r="Q490" t="s">
        <v>74</v>
      </c>
      <c r="R490" t="s">
        <v>74</v>
      </c>
      <c r="S490" t="s">
        <v>74</v>
      </c>
      <c r="T490" t="s">
        <v>7256</v>
      </c>
      <c r="U490" t="s">
        <v>7257</v>
      </c>
      <c r="V490" t="s">
        <v>7258</v>
      </c>
      <c r="W490" t="s">
        <v>5463</v>
      </c>
      <c r="X490" t="s">
        <v>706</v>
      </c>
      <c r="Y490" t="s">
        <v>7259</v>
      </c>
      <c r="Z490" t="s">
        <v>7260</v>
      </c>
      <c r="AA490" t="s">
        <v>7261</v>
      </c>
      <c r="AB490" t="s">
        <v>7262</v>
      </c>
      <c r="AC490" t="s">
        <v>74</v>
      </c>
      <c r="AD490" t="s">
        <v>74</v>
      </c>
      <c r="AE490" t="s">
        <v>74</v>
      </c>
      <c r="AF490" t="s">
        <v>74</v>
      </c>
      <c r="AG490">
        <v>46</v>
      </c>
      <c r="AH490">
        <v>50</v>
      </c>
      <c r="AI490">
        <v>50</v>
      </c>
      <c r="AJ490">
        <v>0</v>
      </c>
      <c r="AK490">
        <v>9</v>
      </c>
      <c r="AL490" t="s">
        <v>539</v>
      </c>
      <c r="AM490" t="s">
        <v>540</v>
      </c>
      <c r="AN490" t="s">
        <v>541</v>
      </c>
      <c r="AO490" t="s">
        <v>672</v>
      </c>
      <c r="AP490" t="s">
        <v>673</v>
      </c>
      <c r="AQ490" t="s">
        <v>74</v>
      </c>
      <c r="AR490" t="s">
        <v>674</v>
      </c>
      <c r="AS490" t="s">
        <v>675</v>
      </c>
      <c r="AT490" t="s">
        <v>7263</v>
      </c>
      <c r="AU490">
        <v>2003</v>
      </c>
      <c r="AV490">
        <v>108</v>
      </c>
      <c r="AW490" t="s">
        <v>7236</v>
      </c>
      <c r="AX490" t="s">
        <v>74</v>
      </c>
      <c r="AY490" t="s">
        <v>74</v>
      </c>
      <c r="AZ490" t="s">
        <v>74</v>
      </c>
      <c r="BA490" t="s">
        <v>74</v>
      </c>
      <c r="BB490" t="s">
        <v>74</v>
      </c>
      <c r="BC490" t="s">
        <v>74</v>
      </c>
      <c r="BD490">
        <v>3162</v>
      </c>
      <c r="BE490" t="s">
        <v>7264</v>
      </c>
      <c r="BF490" t="str">
        <f>HYPERLINK("http://dx.doi.org/10.1029/2001JC001227","http://dx.doi.org/10.1029/2001JC001227")</f>
        <v>http://dx.doi.org/10.1029/2001JC001227</v>
      </c>
      <c r="BG490" t="s">
        <v>74</v>
      </c>
      <c r="BH490" t="s">
        <v>74</v>
      </c>
      <c r="BI490">
        <v>16</v>
      </c>
      <c r="BJ490" t="s">
        <v>678</v>
      </c>
      <c r="BK490" t="s">
        <v>94</v>
      </c>
      <c r="BL490" t="s">
        <v>678</v>
      </c>
      <c r="BM490" t="s">
        <v>7265</v>
      </c>
      <c r="BN490" t="s">
        <v>74</v>
      </c>
      <c r="BO490" t="s">
        <v>74</v>
      </c>
      <c r="BP490" t="s">
        <v>74</v>
      </c>
      <c r="BQ490" t="s">
        <v>74</v>
      </c>
      <c r="BR490" t="s">
        <v>97</v>
      </c>
      <c r="BS490" t="s">
        <v>7266</v>
      </c>
      <c r="BT490" t="str">
        <f>HYPERLINK("https%3A%2F%2Fwww.webofscience.com%2Fwos%2Fwoscc%2Ffull-record%2FWOS:000183303400002","View Full Record in Web of Science")</f>
        <v>View Full Record in Web of Science</v>
      </c>
    </row>
    <row r="491" spans="1:72" x14ac:dyDescent="0.15">
      <c r="A491" t="s">
        <v>72</v>
      </c>
      <c r="B491" t="s">
        <v>7267</v>
      </c>
      <c r="C491" t="s">
        <v>74</v>
      </c>
      <c r="D491" t="s">
        <v>74</v>
      </c>
      <c r="E491" t="s">
        <v>74</v>
      </c>
      <c r="F491" t="s">
        <v>7267</v>
      </c>
      <c r="G491" t="s">
        <v>74</v>
      </c>
      <c r="H491" t="s">
        <v>74</v>
      </c>
      <c r="I491" t="s">
        <v>7268</v>
      </c>
      <c r="J491" t="s">
        <v>665</v>
      </c>
      <c r="K491" t="s">
        <v>74</v>
      </c>
      <c r="L491" t="s">
        <v>74</v>
      </c>
      <c r="M491" t="s">
        <v>77</v>
      </c>
      <c r="N491" t="s">
        <v>78</v>
      </c>
      <c r="O491" t="s">
        <v>74</v>
      </c>
      <c r="P491" t="s">
        <v>74</v>
      </c>
      <c r="Q491" t="s">
        <v>74</v>
      </c>
      <c r="R491" t="s">
        <v>74</v>
      </c>
      <c r="S491" t="s">
        <v>74</v>
      </c>
      <c r="T491" t="s">
        <v>7269</v>
      </c>
      <c r="U491" t="s">
        <v>7270</v>
      </c>
      <c r="V491" t="s">
        <v>7271</v>
      </c>
      <c r="W491" t="s">
        <v>7272</v>
      </c>
      <c r="X491" t="s">
        <v>7273</v>
      </c>
      <c r="Y491" t="s">
        <v>7274</v>
      </c>
      <c r="Z491" t="s">
        <v>7275</v>
      </c>
      <c r="AA491" t="s">
        <v>74</v>
      </c>
      <c r="AB491" t="s">
        <v>74</v>
      </c>
      <c r="AC491" t="s">
        <v>74</v>
      </c>
      <c r="AD491" t="s">
        <v>74</v>
      </c>
      <c r="AE491" t="s">
        <v>74</v>
      </c>
      <c r="AF491" t="s">
        <v>74</v>
      </c>
      <c r="AG491">
        <v>63</v>
      </c>
      <c r="AH491">
        <v>9</v>
      </c>
      <c r="AI491">
        <v>10</v>
      </c>
      <c r="AJ491">
        <v>0</v>
      </c>
      <c r="AK491">
        <v>4</v>
      </c>
      <c r="AL491" t="s">
        <v>539</v>
      </c>
      <c r="AM491" t="s">
        <v>540</v>
      </c>
      <c r="AN491" t="s">
        <v>541</v>
      </c>
      <c r="AO491" t="s">
        <v>672</v>
      </c>
      <c r="AP491" t="s">
        <v>673</v>
      </c>
      <c r="AQ491" t="s">
        <v>74</v>
      </c>
      <c r="AR491" t="s">
        <v>674</v>
      </c>
      <c r="AS491" t="s">
        <v>675</v>
      </c>
      <c r="AT491" t="s">
        <v>7263</v>
      </c>
      <c r="AU491">
        <v>2003</v>
      </c>
      <c r="AV491">
        <v>108</v>
      </c>
      <c r="AW491" t="s">
        <v>7236</v>
      </c>
      <c r="AX491" t="s">
        <v>74</v>
      </c>
      <c r="AY491" t="s">
        <v>74</v>
      </c>
      <c r="AZ491" t="s">
        <v>74</v>
      </c>
      <c r="BA491" t="s">
        <v>74</v>
      </c>
      <c r="BB491" t="s">
        <v>74</v>
      </c>
      <c r="BC491" t="s">
        <v>74</v>
      </c>
      <c r="BD491">
        <v>3161</v>
      </c>
      <c r="BE491" t="s">
        <v>7276</v>
      </c>
      <c r="BF491" t="str">
        <f>HYPERLINK("http://dx.doi.org/10.1029/2000JC000517","http://dx.doi.org/10.1029/2000JC000517")</f>
        <v>http://dx.doi.org/10.1029/2000JC000517</v>
      </c>
      <c r="BG491" t="s">
        <v>74</v>
      </c>
      <c r="BH491" t="s">
        <v>74</v>
      </c>
      <c r="BI491">
        <v>18</v>
      </c>
      <c r="BJ491" t="s">
        <v>678</v>
      </c>
      <c r="BK491" t="s">
        <v>94</v>
      </c>
      <c r="BL491" t="s">
        <v>678</v>
      </c>
      <c r="BM491" t="s">
        <v>7265</v>
      </c>
      <c r="BN491" t="s">
        <v>74</v>
      </c>
      <c r="BO491" t="s">
        <v>96</v>
      </c>
      <c r="BP491" t="s">
        <v>74</v>
      </c>
      <c r="BQ491" t="s">
        <v>74</v>
      </c>
      <c r="BR491" t="s">
        <v>97</v>
      </c>
      <c r="BS491" t="s">
        <v>7277</v>
      </c>
      <c r="BT491" t="str">
        <f>HYPERLINK("https%3A%2F%2Fwww.webofscience.com%2Fwos%2Fwoscc%2Ffull-record%2FWOS:000183303400001","View Full Record in Web of Science")</f>
        <v>View Full Record in Web of Science</v>
      </c>
    </row>
    <row r="492" spans="1:72" x14ac:dyDescent="0.15">
      <c r="A492" t="s">
        <v>72</v>
      </c>
      <c r="B492" t="s">
        <v>7278</v>
      </c>
      <c r="C492" t="s">
        <v>74</v>
      </c>
      <c r="D492" t="s">
        <v>74</v>
      </c>
      <c r="E492" t="s">
        <v>74</v>
      </c>
      <c r="F492" t="s">
        <v>7278</v>
      </c>
      <c r="G492" t="s">
        <v>74</v>
      </c>
      <c r="H492" t="s">
        <v>74</v>
      </c>
      <c r="I492" t="s">
        <v>7279</v>
      </c>
      <c r="J492" t="s">
        <v>530</v>
      </c>
      <c r="K492" t="s">
        <v>74</v>
      </c>
      <c r="L492" t="s">
        <v>74</v>
      </c>
      <c r="M492" t="s">
        <v>77</v>
      </c>
      <c r="N492" t="s">
        <v>78</v>
      </c>
      <c r="O492" t="s">
        <v>74</v>
      </c>
      <c r="P492" t="s">
        <v>74</v>
      </c>
      <c r="Q492" t="s">
        <v>74</v>
      </c>
      <c r="R492" t="s">
        <v>74</v>
      </c>
      <c r="S492" t="s">
        <v>74</v>
      </c>
      <c r="T492" t="s">
        <v>74</v>
      </c>
      <c r="U492" t="s">
        <v>7280</v>
      </c>
      <c r="V492" t="s">
        <v>7281</v>
      </c>
      <c r="W492" t="s">
        <v>7282</v>
      </c>
      <c r="X492" t="s">
        <v>7283</v>
      </c>
      <c r="Y492" t="s">
        <v>4920</v>
      </c>
      <c r="Z492" t="s">
        <v>7284</v>
      </c>
      <c r="AA492" t="s">
        <v>7285</v>
      </c>
      <c r="AB492" t="s">
        <v>7286</v>
      </c>
      <c r="AC492" t="s">
        <v>74</v>
      </c>
      <c r="AD492" t="s">
        <v>74</v>
      </c>
      <c r="AE492" t="s">
        <v>74</v>
      </c>
      <c r="AF492" t="s">
        <v>74</v>
      </c>
      <c r="AG492">
        <v>27</v>
      </c>
      <c r="AH492">
        <v>257</v>
      </c>
      <c r="AI492">
        <v>274</v>
      </c>
      <c r="AJ492">
        <v>0</v>
      </c>
      <c r="AK492">
        <v>5</v>
      </c>
      <c r="AL492" t="s">
        <v>539</v>
      </c>
      <c r="AM492" t="s">
        <v>540</v>
      </c>
      <c r="AN492" t="s">
        <v>541</v>
      </c>
      <c r="AO492" t="s">
        <v>542</v>
      </c>
      <c r="AP492" t="s">
        <v>543</v>
      </c>
      <c r="AQ492" t="s">
        <v>74</v>
      </c>
      <c r="AR492" t="s">
        <v>544</v>
      </c>
      <c r="AS492" t="s">
        <v>545</v>
      </c>
      <c r="AT492" t="s">
        <v>7287</v>
      </c>
      <c r="AU492">
        <v>2003</v>
      </c>
      <c r="AV492">
        <v>30</v>
      </c>
      <c r="AW492">
        <v>10</v>
      </c>
      <c r="AX492" t="s">
        <v>74</v>
      </c>
      <c r="AY492" t="s">
        <v>74</v>
      </c>
      <c r="AZ492" t="s">
        <v>74</v>
      </c>
      <c r="BA492" t="s">
        <v>74</v>
      </c>
      <c r="BB492" t="s">
        <v>74</v>
      </c>
      <c r="BC492" t="s">
        <v>74</v>
      </c>
      <c r="BD492">
        <v>1527</v>
      </c>
      <c r="BE492" t="s">
        <v>7288</v>
      </c>
      <c r="BF492" t="str">
        <f>HYPERLINK("http://dx.doi.org/10.1029/2003GL016973","http://dx.doi.org/10.1029/2003GL016973")</f>
        <v>http://dx.doi.org/10.1029/2003GL016973</v>
      </c>
      <c r="BG492" t="s">
        <v>74</v>
      </c>
      <c r="BH492" t="s">
        <v>74</v>
      </c>
      <c r="BI492">
        <v>4</v>
      </c>
      <c r="BJ492" t="s">
        <v>548</v>
      </c>
      <c r="BK492" t="s">
        <v>94</v>
      </c>
      <c r="BL492" t="s">
        <v>549</v>
      </c>
      <c r="BM492" t="s">
        <v>7289</v>
      </c>
      <c r="BN492" t="s">
        <v>74</v>
      </c>
      <c r="BO492" t="s">
        <v>96</v>
      </c>
      <c r="BP492" t="s">
        <v>74</v>
      </c>
      <c r="BQ492" t="s">
        <v>74</v>
      </c>
      <c r="BR492" t="s">
        <v>97</v>
      </c>
      <c r="BS492" t="s">
        <v>7290</v>
      </c>
      <c r="BT492" t="str">
        <f>HYPERLINK("https%3A%2F%2Fwww.webofscience.com%2Fwos%2Fwoscc%2Ffull-record%2FWOS:000183177800001","View Full Record in Web of Science")</f>
        <v>View Full Record in Web of Science</v>
      </c>
    </row>
    <row r="493" spans="1:72" x14ac:dyDescent="0.15">
      <c r="A493" t="s">
        <v>72</v>
      </c>
      <c r="B493" t="s">
        <v>7291</v>
      </c>
      <c r="C493" t="s">
        <v>74</v>
      </c>
      <c r="D493" t="s">
        <v>74</v>
      </c>
      <c r="E493" t="s">
        <v>74</v>
      </c>
      <c r="F493" t="s">
        <v>7291</v>
      </c>
      <c r="G493" t="s">
        <v>74</v>
      </c>
      <c r="H493" t="s">
        <v>74</v>
      </c>
      <c r="I493" t="s">
        <v>7292</v>
      </c>
      <c r="J493" t="s">
        <v>2693</v>
      </c>
      <c r="K493" t="s">
        <v>74</v>
      </c>
      <c r="L493" t="s">
        <v>74</v>
      </c>
      <c r="M493" t="s">
        <v>77</v>
      </c>
      <c r="N493" t="s">
        <v>78</v>
      </c>
      <c r="O493" t="s">
        <v>74</v>
      </c>
      <c r="P493" t="s">
        <v>74</v>
      </c>
      <c r="Q493" t="s">
        <v>74</v>
      </c>
      <c r="R493" t="s">
        <v>74</v>
      </c>
      <c r="S493" t="s">
        <v>74</v>
      </c>
      <c r="T493" t="s">
        <v>74</v>
      </c>
      <c r="U493" t="s">
        <v>7293</v>
      </c>
      <c r="V493" t="s">
        <v>7294</v>
      </c>
      <c r="W493" t="s">
        <v>7295</v>
      </c>
      <c r="X493" t="s">
        <v>7296</v>
      </c>
      <c r="Y493" t="s">
        <v>7297</v>
      </c>
      <c r="Z493" t="s">
        <v>7298</v>
      </c>
      <c r="AA493" t="s">
        <v>7299</v>
      </c>
      <c r="AB493" t="s">
        <v>7300</v>
      </c>
      <c r="AC493" t="s">
        <v>74</v>
      </c>
      <c r="AD493" t="s">
        <v>74</v>
      </c>
      <c r="AE493" t="s">
        <v>74</v>
      </c>
      <c r="AF493" t="s">
        <v>74</v>
      </c>
      <c r="AG493">
        <v>49</v>
      </c>
      <c r="AH493">
        <v>16</v>
      </c>
      <c r="AI493">
        <v>19</v>
      </c>
      <c r="AJ493">
        <v>0</v>
      </c>
      <c r="AK493">
        <v>6</v>
      </c>
      <c r="AL493" t="s">
        <v>2701</v>
      </c>
      <c r="AM493" t="s">
        <v>7301</v>
      </c>
      <c r="AN493" t="s">
        <v>7302</v>
      </c>
      <c r="AO493" t="s">
        <v>2704</v>
      </c>
      <c r="AP493" t="s">
        <v>7303</v>
      </c>
      <c r="AQ493" t="s">
        <v>74</v>
      </c>
      <c r="AR493" t="s">
        <v>2705</v>
      </c>
      <c r="AS493" t="s">
        <v>2706</v>
      </c>
      <c r="AT493" t="s">
        <v>7304</v>
      </c>
      <c r="AU493">
        <v>2003</v>
      </c>
      <c r="AV493">
        <v>278</v>
      </c>
      <c r="AW493">
        <v>21</v>
      </c>
      <c r="AX493" t="s">
        <v>74</v>
      </c>
      <c r="AY493" t="s">
        <v>74</v>
      </c>
      <c r="AZ493" t="s">
        <v>74</v>
      </c>
      <c r="BA493" t="s">
        <v>74</v>
      </c>
      <c r="BB493">
        <v>18754</v>
      </c>
      <c r="BC493">
        <v>18760</v>
      </c>
      <c r="BD493" t="s">
        <v>74</v>
      </c>
      <c r="BE493" t="s">
        <v>7305</v>
      </c>
      <c r="BF493" t="str">
        <f>HYPERLINK("http://dx.doi.org/10.1074/jbc.M211766200","http://dx.doi.org/10.1074/jbc.M211766200")</f>
        <v>http://dx.doi.org/10.1074/jbc.M211766200</v>
      </c>
      <c r="BG493" t="s">
        <v>74</v>
      </c>
      <c r="BH493" t="s">
        <v>74</v>
      </c>
      <c r="BI493">
        <v>7</v>
      </c>
      <c r="BJ493" t="s">
        <v>2709</v>
      </c>
      <c r="BK493" t="s">
        <v>94</v>
      </c>
      <c r="BL493" t="s">
        <v>2709</v>
      </c>
      <c r="BM493" t="s">
        <v>7306</v>
      </c>
      <c r="BN493">
        <v>12637536</v>
      </c>
      <c r="BO493" t="s">
        <v>759</v>
      </c>
      <c r="BP493" t="s">
        <v>74</v>
      </c>
      <c r="BQ493" t="s">
        <v>74</v>
      </c>
      <c r="BR493" t="s">
        <v>97</v>
      </c>
      <c r="BS493" t="s">
        <v>7307</v>
      </c>
      <c r="BT493" t="str">
        <f>HYPERLINK("https%3A%2F%2Fwww.webofscience.com%2Fwos%2Fwoscc%2Ffull-record%2FWOS:000182932200008","View Full Record in Web of Science")</f>
        <v>View Full Record in Web of Science</v>
      </c>
    </row>
    <row r="494" spans="1:72" x14ac:dyDescent="0.15">
      <c r="A494" t="s">
        <v>72</v>
      </c>
      <c r="B494" t="s">
        <v>7308</v>
      </c>
      <c r="C494" t="s">
        <v>74</v>
      </c>
      <c r="D494" t="s">
        <v>74</v>
      </c>
      <c r="E494" t="s">
        <v>74</v>
      </c>
      <c r="F494" t="s">
        <v>7308</v>
      </c>
      <c r="G494" t="s">
        <v>74</v>
      </c>
      <c r="H494" t="s">
        <v>74</v>
      </c>
      <c r="I494" t="s">
        <v>7309</v>
      </c>
      <c r="J494" t="s">
        <v>665</v>
      </c>
      <c r="K494" t="s">
        <v>74</v>
      </c>
      <c r="L494" t="s">
        <v>74</v>
      </c>
      <c r="M494" t="s">
        <v>77</v>
      </c>
      <c r="N494" t="s">
        <v>78</v>
      </c>
      <c r="O494" t="s">
        <v>74</v>
      </c>
      <c r="P494" t="s">
        <v>74</v>
      </c>
      <c r="Q494" t="s">
        <v>74</v>
      </c>
      <c r="R494" t="s">
        <v>74</v>
      </c>
      <c r="S494" t="s">
        <v>74</v>
      </c>
      <c r="T494" t="s">
        <v>7310</v>
      </c>
      <c r="U494" t="s">
        <v>7311</v>
      </c>
      <c r="V494" t="s">
        <v>7312</v>
      </c>
      <c r="W494" t="s">
        <v>7313</v>
      </c>
      <c r="X494" t="s">
        <v>7314</v>
      </c>
      <c r="Y494" t="s">
        <v>7315</v>
      </c>
      <c r="Z494" t="s">
        <v>7316</v>
      </c>
      <c r="AA494" t="s">
        <v>2721</v>
      </c>
      <c r="AB494" t="s">
        <v>7317</v>
      </c>
      <c r="AC494" t="s">
        <v>74</v>
      </c>
      <c r="AD494" t="s">
        <v>74</v>
      </c>
      <c r="AE494" t="s">
        <v>74</v>
      </c>
      <c r="AF494" t="s">
        <v>74</v>
      </c>
      <c r="AG494">
        <v>47</v>
      </c>
      <c r="AH494">
        <v>22</v>
      </c>
      <c r="AI494">
        <v>26</v>
      </c>
      <c r="AJ494">
        <v>0</v>
      </c>
      <c r="AK494">
        <v>13</v>
      </c>
      <c r="AL494" t="s">
        <v>539</v>
      </c>
      <c r="AM494" t="s">
        <v>540</v>
      </c>
      <c r="AN494" t="s">
        <v>541</v>
      </c>
      <c r="AO494" t="s">
        <v>672</v>
      </c>
      <c r="AP494" t="s">
        <v>673</v>
      </c>
      <c r="AQ494" t="s">
        <v>74</v>
      </c>
      <c r="AR494" t="s">
        <v>674</v>
      </c>
      <c r="AS494" t="s">
        <v>675</v>
      </c>
      <c r="AT494" t="s">
        <v>7318</v>
      </c>
      <c r="AU494">
        <v>2003</v>
      </c>
      <c r="AV494">
        <v>108</v>
      </c>
      <c r="AW494" t="s">
        <v>7236</v>
      </c>
      <c r="AX494" t="s">
        <v>74</v>
      </c>
      <c r="AY494" t="s">
        <v>74</v>
      </c>
      <c r="AZ494" t="s">
        <v>74</v>
      </c>
      <c r="BA494" t="s">
        <v>74</v>
      </c>
      <c r="BB494" t="s">
        <v>74</v>
      </c>
      <c r="BC494" t="s">
        <v>74</v>
      </c>
      <c r="BD494">
        <v>3154</v>
      </c>
      <c r="BE494" t="s">
        <v>7319</v>
      </c>
      <c r="BF494" t="str">
        <f>HYPERLINK("http://dx.doi.org/10.1029/2001JC001226","http://dx.doi.org/10.1029/2001JC001226")</f>
        <v>http://dx.doi.org/10.1029/2001JC001226</v>
      </c>
      <c r="BG494" t="s">
        <v>74</v>
      </c>
      <c r="BH494" t="s">
        <v>74</v>
      </c>
      <c r="BI494">
        <v>19</v>
      </c>
      <c r="BJ494" t="s">
        <v>678</v>
      </c>
      <c r="BK494" t="s">
        <v>94</v>
      </c>
      <c r="BL494" t="s">
        <v>678</v>
      </c>
      <c r="BM494" t="s">
        <v>7320</v>
      </c>
      <c r="BN494" t="s">
        <v>74</v>
      </c>
      <c r="BO494" t="s">
        <v>96</v>
      </c>
      <c r="BP494" t="s">
        <v>74</v>
      </c>
      <c r="BQ494" t="s">
        <v>74</v>
      </c>
      <c r="BR494" t="s">
        <v>97</v>
      </c>
      <c r="BS494" t="s">
        <v>7321</v>
      </c>
      <c r="BT494" t="str">
        <f>HYPERLINK("https%3A%2F%2Fwww.webofscience.com%2Fwos%2Fwoscc%2Ffull-record%2FWOS:000183179200001","View Full Record in Web of Science")</f>
        <v>View Full Record in Web of Science</v>
      </c>
    </row>
    <row r="495" spans="1:72" x14ac:dyDescent="0.15">
      <c r="A495" t="s">
        <v>72</v>
      </c>
      <c r="B495" t="s">
        <v>7322</v>
      </c>
      <c r="C495" t="s">
        <v>74</v>
      </c>
      <c r="D495" t="s">
        <v>74</v>
      </c>
      <c r="E495" t="s">
        <v>74</v>
      </c>
      <c r="F495" t="s">
        <v>7322</v>
      </c>
      <c r="G495" t="s">
        <v>74</v>
      </c>
      <c r="H495" t="s">
        <v>74</v>
      </c>
      <c r="I495" t="s">
        <v>7323</v>
      </c>
      <c r="J495" t="s">
        <v>613</v>
      </c>
      <c r="K495" t="s">
        <v>74</v>
      </c>
      <c r="L495" t="s">
        <v>74</v>
      </c>
      <c r="M495" t="s">
        <v>77</v>
      </c>
      <c r="N495" t="s">
        <v>78</v>
      </c>
      <c r="O495" t="s">
        <v>74</v>
      </c>
      <c r="P495" t="s">
        <v>74</v>
      </c>
      <c r="Q495" t="s">
        <v>74</v>
      </c>
      <c r="R495" t="s">
        <v>74</v>
      </c>
      <c r="S495" t="s">
        <v>74</v>
      </c>
      <c r="T495" t="s">
        <v>7324</v>
      </c>
      <c r="U495" t="s">
        <v>7325</v>
      </c>
      <c r="V495" t="s">
        <v>7326</v>
      </c>
      <c r="W495" t="s">
        <v>7327</v>
      </c>
      <c r="X495" t="s">
        <v>7328</v>
      </c>
      <c r="Y495" t="s">
        <v>7329</v>
      </c>
      <c r="Z495" t="s">
        <v>74</v>
      </c>
      <c r="AA495" t="s">
        <v>7330</v>
      </c>
      <c r="AB495" t="s">
        <v>7331</v>
      </c>
      <c r="AC495" t="s">
        <v>2847</v>
      </c>
      <c r="AD495" t="s">
        <v>2848</v>
      </c>
      <c r="AE495" t="s">
        <v>74</v>
      </c>
      <c r="AF495" t="s">
        <v>74</v>
      </c>
      <c r="AG495">
        <v>62</v>
      </c>
      <c r="AH495">
        <v>49</v>
      </c>
      <c r="AI495">
        <v>59</v>
      </c>
      <c r="AJ495">
        <v>0</v>
      </c>
      <c r="AK495">
        <v>23</v>
      </c>
      <c r="AL495" t="s">
        <v>539</v>
      </c>
      <c r="AM495" t="s">
        <v>540</v>
      </c>
      <c r="AN495" t="s">
        <v>541</v>
      </c>
      <c r="AO495" t="s">
        <v>621</v>
      </c>
      <c r="AP495" t="s">
        <v>74</v>
      </c>
      <c r="AQ495" t="s">
        <v>74</v>
      </c>
      <c r="AR495" t="s">
        <v>613</v>
      </c>
      <c r="AS495" t="s">
        <v>623</v>
      </c>
      <c r="AT495" t="s">
        <v>7318</v>
      </c>
      <c r="AU495">
        <v>2003</v>
      </c>
      <c r="AV495">
        <v>18</v>
      </c>
      <c r="AW495">
        <v>2</v>
      </c>
      <c r="AX495" t="s">
        <v>74</v>
      </c>
      <c r="AY495" t="s">
        <v>74</v>
      </c>
      <c r="AZ495" t="s">
        <v>74</v>
      </c>
      <c r="BA495" t="s">
        <v>74</v>
      </c>
      <c r="BB495" t="s">
        <v>74</v>
      </c>
      <c r="BC495" t="s">
        <v>74</v>
      </c>
      <c r="BD495">
        <v>1040</v>
      </c>
      <c r="BE495" t="s">
        <v>7332</v>
      </c>
      <c r="BF495" t="str">
        <f>HYPERLINK("http://dx.doi.org/10.1029/2002PA000817","http://dx.doi.org/10.1029/2002PA000817")</f>
        <v>http://dx.doi.org/10.1029/2002PA000817</v>
      </c>
      <c r="BG495" t="s">
        <v>74</v>
      </c>
      <c r="BH495" t="s">
        <v>74</v>
      </c>
      <c r="BI495">
        <v>11</v>
      </c>
      <c r="BJ495" t="s">
        <v>625</v>
      </c>
      <c r="BK495" t="s">
        <v>94</v>
      </c>
      <c r="BL495" t="s">
        <v>626</v>
      </c>
      <c r="BM495" t="s">
        <v>7333</v>
      </c>
      <c r="BN495" t="s">
        <v>74</v>
      </c>
      <c r="BO495" t="s">
        <v>4585</v>
      </c>
      <c r="BP495" t="s">
        <v>74</v>
      </c>
      <c r="BQ495" t="s">
        <v>74</v>
      </c>
      <c r="BR495" t="s">
        <v>97</v>
      </c>
      <c r="BS495" t="s">
        <v>7334</v>
      </c>
      <c r="BT495" t="str">
        <f>HYPERLINK("https%3A%2F%2Fwww.webofscience.com%2Fwos%2Fwoscc%2Ffull-record%2FWOS:000183180800001","View Full Record in Web of Science")</f>
        <v>View Full Record in Web of Science</v>
      </c>
    </row>
    <row r="496" spans="1:72" x14ac:dyDescent="0.15">
      <c r="A496" t="s">
        <v>72</v>
      </c>
      <c r="B496" t="s">
        <v>7335</v>
      </c>
      <c r="C496" t="s">
        <v>74</v>
      </c>
      <c r="D496" t="s">
        <v>74</v>
      </c>
      <c r="E496" t="s">
        <v>74</v>
      </c>
      <c r="F496" t="s">
        <v>7335</v>
      </c>
      <c r="G496" t="s">
        <v>74</v>
      </c>
      <c r="H496" t="s">
        <v>74</v>
      </c>
      <c r="I496" t="s">
        <v>7336</v>
      </c>
      <c r="J496" t="s">
        <v>613</v>
      </c>
      <c r="K496" t="s">
        <v>74</v>
      </c>
      <c r="L496" t="s">
        <v>74</v>
      </c>
      <c r="M496" t="s">
        <v>77</v>
      </c>
      <c r="N496" t="s">
        <v>78</v>
      </c>
      <c r="O496" t="s">
        <v>74</v>
      </c>
      <c r="P496" t="s">
        <v>74</v>
      </c>
      <c r="Q496" t="s">
        <v>74</v>
      </c>
      <c r="R496" t="s">
        <v>74</v>
      </c>
      <c r="S496" t="s">
        <v>74</v>
      </c>
      <c r="T496" t="s">
        <v>7337</v>
      </c>
      <c r="U496" t="s">
        <v>7338</v>
      </c>
      <c r="V496" t="s">
        <v>7339</v>
      </c>
      <c r="W496" t="s">
        <v>7340</v>
      </c>
      <c r="X496" t="s">
        <v>7341</v>
      </c>
      <c r="Y496" t="s">
        <v>7342</v>
      </c>
      <c r="Z496" t="s">
        <v>74</v>
      </c>
      <c r="AA496" t="s">
        <v>7343</v>
      </c>
      <c r="AB496" t="s">
        <v>7344</v>
      </c>
      <c r="AC496" t="s">
        <v>74</v>
      </c>
      <c r="AD496" t="s">
        <v>74</v>
      </c>
      <c r="AE496" t="s">
        <v>74</v>
      </c>
      <c r="AF496" t="s">
        <v>74</v>
      </c>
      <c r="AG496">
        <v>61</v>
      </c>
      <c r="AH496">
        <v>84</v>
      </c>
      <c r="AI496">
        <v>92</v>
      </c>
      <c r="AJ496">
        <v>1</v>
      </c>
      <c r="AK496">
        <v>27</v>
      </c>
      <c r="AL496" t="s">
        <v>539</v>
      </c>
      <c r="AM496" t="s">
        <v>540</v>
      </c>
      <c r="AN496" t="s">
        <v>541</v>
      </c>
      <c r="AO496" t="s">
        <v>621</v>
      </c>
      <c r="AP496" t="s">
        <v>74</v>
      </c>
      <c r="AQ496" t="s">
        <v>74</v>
      </c>
      <c r="AR496" t="s">
        <v>613</v>
      </c>
      <c r="AS496" t="s">
        <v>623</v>
      </c>
      <c r="AT496" t="s">
        <v>7318</v>
      </c>
      <c r="AU496">
        <v>2003</v>
      </c>
      <c r="AV496">
        <v>18</v>
      </c>
      <c r="AW496">
        <v>2</v>
      </c>
      <c r="AX496" t="s">
        <v>74</v>
      </c>
      <c r="AY496" t="s">
        <v>74</v>
      </c>
      <c r="AZ496" t="s">
        <v>74</v>
      </c>
      <c r="BA496" t="s">
        <v>74</v>
      </c>
      <c r="BB496" t="s">
        <v>74</v>
      </c>
      <c r="BC496" t="s">
        <v>74</v>
      </c>
      <c r="BD496">
        <v>1041</v>
      </c>
      <c r="BE496" t="s">
        <v>7345</v>
      </c>
      <c r="BF496" t="str">
        <f>HYPERLINK("http://dx.doi.org/10.1029/2002PA000819","http://dx.doi.org/10.1029/2002PA000819")</f>
        <v>http://dx.doi.org/10.1029/2002PA000819</v>
      </c>
      <c r="BG496" t="s">
        <v>74</v>
      </c>
      <c r="BH496" t="s">
        <v>74</v>
      </c>
      <c r="BI496">
        <v>20</v>
      </c>
      <c r="BJ496" t="s">
        <v>625</v>
      </c>
      <c r="BK496" t="s">
        <v>94</v>
      </c>
      <c r="BL496" t="s">
        <v>626</v>
      </c>
      <c r="BM496" t="s">
        <v>7333</v>
      </c>
      <c r="BN496" t="s">
        <v>74</v>
      </c>
      <c r="BO496" t="s">
        <v>96</v>
      </c>
      <c r="BP496" t="s">
        <v>74</v>
      </c>
      <c r="BQ496" t="s">
        <v>74</v>
      </c>
      <c r="BR496" t="s">
        <v>97</v>
      </c>
      <c r="BS496" t="s">
        <v>7346</v>
      </c>
      <c r="BT496" t="str">
        <f>HYPERLINK("https%3A%2F%2Fwww.webofscience.com%2Fwos%2Fwoscc%2Ffull-record%2FWOS:000183180800002","View Full Record in Web of Science")</f>
        <v>View Full Record in Web of Science</v>
      </c>
    </row>
    <row r="497" spans="1:72" x14ac:dyDescent="0.15">
      <c r="A497" t="s">
        <v>72</v>
      </c>
      <c r="B497" t="s">
        <v>7347</v>
      </c>
      <c r="C497" t="s">
        <v>74</v>
      </c>
      <c r="D497" t="s">
        <v>74</v>
      </c>
      <c r="E497" t="s">
        <v>74</v>
      </c>
      <c r="F497" t="s">
        <v>7347</v>
      </c>
      <c r="G497" t="s">
        <v>74</v>
      </c>
      <c r="H497" t="s">
        <v>74</v>
      </c>
      <c r="I497" t="s">
        <v>7348</v>
      </c>
      <c r="J497" t="s">
        <v>7349</v>
      </c>
      <c r="K497" t="s">
        <v>74</v>
      </c>
      <c r="L497" t="s">
        <v>74</v>
      </c>
      <c r="M497" t="s">
        <v>77</v>
      </c>
      <c r="N497" t="s">
        <v>78</v>
      </c>
      <c r="O497" t="s">
        <v>74</v>
      </c>
      <c r="P497" t="s">
        <v>74</v>
      </c>
      <c r="Q497" t="s">
        <v>74</v>
      </c>
      <c r="R497" t="s">
        <v>74</v>
      </c>
      <c r="S497" t="s">
        <v>74</v>
      </c>
      <c r="T497" t="s">
        <v>7350</v>
      </c>
      <c r="U497" t="s">
        <v>7351</v>
      </c>
      <c r="V497" t="s">
        <v>7352</v>
      </c>
      <c r="W497" t="s">
        <v>7353</v>
      </c>
      <c r="X497" t="s">
        <v>7354</v>
      </c>
      <c r="Y497" t="s">
        <v>7355</v>
      </c>
      <c r="Z497" t="s">
        <v>1704</v>
      </c>
      <c r="AA497" t="s">
        <v>7356</v>
      </c>
      <c r="AB497" t="s">
        <v>7357</v>
      </c>
      <c r="AC497" t="s">
        <v>74</v>
      </c>
      <c r="AD497" t="s">
        <v>74</v>
      </c>
      <c r="AE497" t="s">
        <v>74</v>
      </c>
      <c r="AF497" t="s">
        <v>74</v>
      </c>
      <c r="AG497">
        <v>80</v>
      </c>
      <c r="AH497">
        <v>52</v>
      </c>
      <c r="AI497">
        <v>59</v>
      </c>
      <c r="AJ497">
        <v>0</v>
      </c>
      <c r="AK497">
        <v>18</v>
      </c>
      <c r="AL497" t="s">
        <v>781</v>
      </c>
      <c r="AM497" t="s">
        <v>111</v>
      </c>
      <c r="AN497" t="s">
        <v>782</v>
      </c>
      <c r="AO497" t="s">
        <v>7358</v>
      </c>
      <c r="AP497" t="s">
        <v>7359</v>
      </c>
      <c r="AQ497" t="s">
        <v>74</v>
      </c>
      <c r="AR497" t="s">
        <v>7360</v>
      </c>
      <c r="AS497" t="s">
        <v>7361</v>
      </c>
      <c r="AT497" t="s">
        <v>7362</v>
      </c>
      <c r="AU497">
        <v>2003</v>
      </c>
      <c r="AV497">
        <v>196</v>
      </c>
      <c r="AW497" t="s">
        <v>7363</v>
      </c>
      <c r="AX497" t="s">
        <v>74</v>
      </c>
      <c r="AY497" t="s">
        <v>74</v>
      </c>
      <c r="AZ497" t="s">
        <v>74</v>
      </c>
      <c r="BA497" t="s">
        <v>74</v>
      </c>
      <c r="BB497">
        <v>131</v>
      </c>
      <c r="BC497">
        <v>145</v>
      </c>
      <c r="BD497" t="s">
        <v>74</v>
      </c>
      <c r="BE497" t="s">
        <v>7364</v>
      </c>
      <c r="BF497" t="str">
        <f>HYPERLINK("http://dx.doi.org/10.1016/S0009-2541(02)00410-2","http://dx.doi.org/10.1016/S0009-2541(02)00410-2")</f>
        <v>http://dx.doi.org/10.1016/S0009-2541(02)00410-2</v>
      </c>
      <c r="BG497" t="s">
        <v>74</v>
      </c>
      <c r="BH497" t="s">
        <v>74</v>
      </c>
      <c r="BI497">
        <v>15</v>
      </c>
      <c r="BJ497" t="s">
        <v>176</v>
      </c>
      <c r="BK497" t="s">
        <v>94</v>
      </c>
      <c r="BL497" t="s">
        <v>176</v>
      </c>
      <c r="BM497" t="s">
        <v>7365</v>
      </c>
      <c r="BN497" t="s">
        <v>74</v>
      </c>
      <c r="BO497" t="s">
        <v>74</v>
      </c>
      <c r="BP497" t="s">
        <v>74</v>
      </c>
      <c r="BQ497" t="s">
        <v>74</v>
      </c>
      <c r="BR497" t="s">
        <v>97</v>
      </c>
      <c r="BS497" t="s">
        <v>7366</v>
      </c>
      <c r="BT497" t="str">
        <f>HYPERLINK("https%3A%2F%2Fwww.webofscience.com%2Fwos%2Fwoscc%2Ffull-record%2FWOS:000182458200008","View Full Record in Web of Science")</f>
        <v>View Full Record in Web of Science</v>
      </c>
    </row>
    <row r="498" spans="1:72" x14ac:dyDescent="0.15">
      <c r="A498" t="s">
        <v>72</v>
      </c>
      <c r="B498" t="s">
        <v>7367</v>
      </c>
      <c r="C498" t="s">
        <v>74</v>
      </c>
      <c r="D498" t="s">
        <v>74</v>
      </c>
      <c r="E498" t="s">
        <v>74</v>
      </c>
      <c r="F498" t="s">
        <v>7367</v>
      </c>
      <c r="G498" t="s">
        <v>74</v>
      </c>
      <c r="H498" t="s">
        <v>74</v>
      </c>
      <c r="I498" t="s">
        <v>7368</v>
      </c>
      <c r="J498" t="s">
        <v>530</v>
      </c>
      <c r="K498" t="s">
        <v>74</v>
      </c>
      <c r="L498" t="s">
        <v>74</v>
      </c>
      <c r="M498" t="s">
        <v>77</v>
      </c>
      <c r="N498" t="s">
        <v>78</v>
      </c>
      <c r="O498" t="s">
        <v>74</v>
      </c>
      <c r="P498" t="s">
        <v>74</v>
      </c>
      <c r="Q498" t="s">
        <v>74</v>
      </c>
      <c r="R498" t="s">
        <v>74</v>
      </c>
      <c r="S498" t="s">
        <v>74</v>
      </c>
      <c r="T498" t="s">
        <v>74</v>
      </c>
      <c r="U498" t="s">
        <v>7369</v>
      </c>
      <c r="V498" t="s">
        <v>7370</v>
      </c>
      <c r="W498" t="s">
        <v>7282</v>
      </c>
      <c r="X498" t="s">
        <v>7283</v>
      </c>
      <c r="Y498" t="s">
        <v>7371</v>
      </c>
      <c r="Z498" t="s">
        <v>74</v>
      </c>
      <c r="AA498" t="s">
        <v>7285</v>
      </c>
      <c r="AB498" t="s">
        <v>7286</v>
      </c>
      <c r="AC498" t="s">
        <v>74</v>
      </c>
      <c r="AD498" t="s">
        <v>74</v>
      </c>
      <c r="AE498" t="s">
        <v>74</v>
      </c>
      <c r="AF498" t="s">
        <v>74</v>
      </c>
      <c r="AG498">
        <v>27</v>
      </c>
      <c r="AH498">
        <v>193</v>
      </c>
      <c r="AI498">
        <v>204</v>
      </c>
      <c r="AJ498">
        <v>0</v>
      </c>
      <c r="AK498">
        <v>3</v>
      </c>
      <c r="AL498" t="s">
        <v>539</v>
      </c>
      <c r="AM498" t="s">
        <v>540</v>
      </c>
      <c r="AN498" t="s">
        <v>541</v>
      </c>
      <c r="AO498" t="s">
        <v>542</v>
      </c>
      <c r="AP498" t="s">
        <v>74</v>
      </c>
      <c r="AQ498" t="s">
        <v>74</v>
      </c>
      <c r="AR498" t="s">
        <v>544</v>
      </c>
      <c r="AS498" t="s">
        <v>545</v>
      </c>
      <c r="AT498" t="s">
        <v>7362</v>
      </c>
      <c r="AU498">
        <v>2003</v>
      </c>
      <c r="AV498">
        <v>30</v>
      </c>
      <c r="AW498">
        <v>9</v>
      </c>
      <c r="AX498" t="s">
        <v>74</v>
      </c>
      <c r="AY498" t="s">
        <v>74</v>
      </c>
      <c r="AZ498" t="s">
        <v>74</v>
      </c>
      <c r="BA498" t="s">
        <v>74</v>
      </c>
      <c r="BB498" t="s">
        <v>74</v>
      </c>
      <c r="BC498" t="s">
        <v>74</v>
      </c>
      <c r="BD498">
        <v>1493</v>
      </c>
      <c r="BE498" t="s">
        <v>7372</v>
      </c>
      <c r="BF498" t="str">
        <f>HYPERLINK("http://dx.doi.org/10.1029/2003GL016963","http://dx.doi.org/10.1029/2003GL016963")</f>
        <v>http://dx.doi.org/10.1029/2003GL016963</v>
      </c>
      <c r="BG498" t="s">
        <v>74</v>
      </c>
      <c r="BH498" t="s">
        <v>74</v>
      </c>
      <c r="BI498">
        <v>4</v>
      </c>
      <c r="BJ498" t="s">
        <v>548</v>
      </c>
      <c r="BK498" t="s">
        <v>94</v>
      </c>
      <c r="BL498" t="s">
        <v>549</v>
      </c>
      <c r="BM498" t="s">
        <v>7373</v>
      </c>
      <c r="BN498" t="s">
        <v>74</v>
      </c>
      <c r="BO498" t="s">
        <v>74</v>
      </c>
      <c r="BP498" t="s">
        <v>74</v>
      </c>
      <c r="BQ498" t="s">
        <v>74</v>
      </c>
      <c r="BR498" t="s">
        <v>97</v>
      </c>
      <c r="BS498" t="s">
        <v>7374</v>
      </c>
      <c r="BT498" t="str">
        <f>HYPERLINK("https%3A%2F%2Fwww.webofscience.com%2Fwos%2Fwoscc%2Ffull-record%2FWOS:000183100800002","View Full Record in Web of Science")</f>
        <v>View Full Record in Web of Science</v>
      </c>
    </row>
    <row r="499" spans="1:72" x14ac:dyDescent="0.15">
      <c r="A499" t="s">
        <v>72</v>
      </c>
      <c r="B499" t="s">
        <v>7375</v>
      </c>
      <c r="C499" t="s">
        <v>74</v>
      </c>
      <c r="D499" t="s">
        <v>74</v>
      </c>
      <c r="E499" t="s">
        <v>74</v>
      </c>
      <c r="F499" t="s">
        <v>7375</v>
      </c>
      <c r="G499" t="s">
        <v>74</v>
      </c>
      <c r="H499" t="s">
        <v>74</v>
      </c>
      <c r="I499" t="s">
        <v>7376</v>
      </c>
      <c r="J499" t="s">
        <v>76</v>
      </c>
      <c r="K499" t="s">
        <v>74</v>
      </c>
      <c r="L499" t="s">
        <v>74</v>
      </c>
      <c r="M499" t="s">
        <v>77</v>
      </c>
      <c r="N499" t="s">
        <v>78</v>
      </c>
      <c r="O499" t="s">
        <v>74</v>
      </c>
      <c r="P499" t="s">
        <v>74</v>
      </c>
      <c r="Q499" t="s">
        <v>74</v>
      </c>
      <c r="R499" t="s">
        <v>74</v>
      </c>
      <c r="S499" t="s">
        <v>74</v>
      </c>
      <c r="T499" t="s">
        <v>74</v>
      </c>
      <c r="U499" t="s">
        <v>7377</v>
      </c>
      <c r="V499" t="s">
        <v>7378</v>
      </c>
      <c r="W499" t="s">
        <v>7379</v>
      </c>
      <c r="X499" t="s">
        <v>7380</v>
      </c>
      <c r="Y499" t="s">
        <v>7381</v>
      </c>
      <c r="Z499" t="s">
        <v>7382</v>
      </c>
      <c r="AA499" t="s">
        <v>7383</v>
      </c>
      <c r="AB499" t="s">
        <v>7384</v>
      </c>
      <c r="AC499" t="s">
        <v>74</v>
      </c>
      <c r="AD499" t="s">
        <v>74</v>
      </c>
      <c r="AE499" t="s">
        <v>74</v>
      </c>
      <c r="AF499" t="s">
        <v>74</v>
      </c>
      <c r="AG499">
        <v>45</v>
      </c>
      <c r="AH499">
        <v>145</v>
      </c>
      <c r="AI499">
        <v>152</v>
      </c>
      <c r="AJ499">
        <v>2</v>
      </c>
      <c r="AK499">
        <v>20</v>
      </c>
      <c r="AL499" t="s">
        <v>85</v>
      </c>
      <c r="AM499" t="s">
        <v>86</v>
      </c>
      <c r="AN499" t="s">
        <v>87</v>
      </c>
      <c r="AO499" t="s">
        <v>88</v>
      </c>
      <c r="AP499" t="s">
        <v>755</v>
      </c>
      <c r="AQ499" t="s">
        <v>74</v>
      </c>
      <c r="AR499" t="s">
        <v>89</v>
      </c>
      <c r="AS499" t="s">
        <v>90</v>
      </c>
      <c r="AT499" t="s">
        <v>7362</v>
      </c>
      <c r="AU499">
        <v>2003</v>
      </c>
      <c r="AV499">
        <v>16</v>
      </c>
      <c r="AW499">
        <v>10</v>
      </c>
      <c r="AX499" t="s">
        <v>74</v>
      </c>
      <c r="AY499" t="s">
        <v>74</v>
      </c>
      <c r="AZ499" t="s">
        <v>74</v>
      </c>
      <c r="BA499" t="s">
        <v>74</v>
      </c>
      <c r="BB499">
        <v>1525</v>
      </c>
      <c r="BC499">
        <v>1538</v>
      </c>
      <c r="BD499" t="s">
        <v>74</v>
      </c>
      <c r="BE499" t="s">
        <v>7385</v>
      </c>
      <c r="BF499" t="str">
        <f>HYPERLINK("http://dx.doi.org/10.1175/1520-0442-16.10.1525","http://dx.doi.org/10.1175/1520-0442-16.10.1525")</f>
        <v>http://dx.doi.org/10.1175/1520-0442-16.10.1525</v>
      </c>
      <c r="BG499" t="s">
        <v>74</v>
      </c>
      <c r="BH499" t="s">
        <v>74</v>
      </c>
      <c r="BI499">
        <v>14</v>
      </c>
      <c r="BJ499" t="s">
        <v>93</v>
      </c>
      <c r="BK499" t="s">
        <v>94</v>
      </c>
      <c r="BL499" t="s">
        <v>93</v>
      </c>
      <c r="BM499" t="s">
        <v>7386</v>
      </c>
      <c r="BN499" t="s">
        <v>74</v>
      </c>
      <c r="BO499" t="s">
        <v>74</v>
      </c>
      <c r="BP499" t="s">
        <v>74</v>
      </c>
      <c r="BQ499" t="s">
        <v>74</v>
      </c>
      <c r="BR499" t="s">
        <v>97</v>
      </c>
      <c r="BS499" t="s">
        <v>7387</v>
      </c>
      <c r="BT499" t="str">
        <f>HYPERLINK("https%3A%2F%2Fwww.webofscience.com%2Fwos%2Fwoscc%2Ffull-record%2FWOS:000182699500007","View Full Record in Web of Science")</f>
        <v>View Full Record in Web of Science</v>
      </c>
    </row>
    <row r="500" spans="1:72" x14ac:dyDescent="0.15">
      <c r="A500" t="s">
        <v>72</v>
      </c>
      <c r="B500" t="s">
        <v>7388</v>
      </c>
      <c r="C500" t="s">
        <v>74</v>
      </c>
      <c r="D500" t="s">
        <v>74</v>
      </c>
      <c r="E500" t="s">
        <v>74</v>
      </c>
      <c r="F500" t="s">
        <v>7388</v>
      </c>
      <c r="G500" t="s">
        <v>74</v>
      </c>
      <c r="H500" t="s">
        <v>74</v>
      </c>
      <c r="I500" t="s">
        <v>7389</v>
      </c>
      <c r="J500" t="s">
        <v>76</v>
      </c>
      <c r="K500" t="s">
        <v>74</v>
      </c>
      <c r="L500" t="s">
        <v>74</v>
      </c>
      <c r="M500" t="s">
        <v>77</v>
      </c>
      <c r="N500" t="s">
        <v>78</v>
      </c>
      <c r="O500" t="s">
        <v>74</v>
      </c>
      <c r="P500" t="s">
        <v>74</v>
      </c>
      <c r="Q500" t="s">
        <v>74</v>
      </c>
      <c r="R500" t="s">
        <v>74</v>
      </c>
      <c r="S500" t="s">
        <v>74</v>
      </c>
      <c r="T500" t="s">
        <v>74</v>
      </c>
      <c r="U500" t="s">
        <v>7390</v>
      </c>
      <c r="V500" t="s">
        <v>7391</v>
      </c>
      <c r="W500" t="s">
        <v>7392</v>
      </c>
      <c r="X500" t="s">
        <v>4646</v>
      </c>
      <c r="Y500" t="s">
        <v>7393</v>
      </c>
      <c r="Z500" t="s">
        <v>74</v>
      </c>
      <c r="AA500" t="s">
        <v>7394</v>
      </c>
      <c r="AB500" t="s">
        <v>74</v>
      </c>
      <c r="AC500" t="s">
        <v>74</v>
      </c>
      <c r="AD500" t="s">
        <v>74</v>
      </c>
      <c r="AE500" t="s">
        <v>74</v>
      </c>
      <c r="AF500" t="s">
        <v>74</v>
      </c>
      <c r="AG500">
        <v>24</v>
      </c>
      <c r="AH500">
        <v>26</v>
      </c>
      <c r="AI500">
        <v>31</v>
      </c>
      <c r="AJ500">
        <v>0</v>
      </c>
      <c r="AK500">
        <v>20</v>
      </c>
      <c r="AL500" t="s">
        <v>85</v>
      </c>
      <c r="AM500" t="s">
        <v>86</v>
      </c>
      <c r="AN500" t="s">
        <v>87</v>
      </c>
      <c r="AO500" t="s">
        <v>88</v>
      </c>
      <c r="AP500" t="s">
        <v>74</v>
      </c>
      <c r="AQ500" t="s">
        <v>74</v>
      </c>
      <c r="AR500" t="s">
        <v>89</v>
      </c>
      <c r="AS500" t="s">
        <v>90</v>
      </c>
      <c r="AT500" t="s">
        <v>7362</v>
      </c>
      <c r="AU500">
        <v>2003</v>
      </c>
      <c r="AV500">
        <v>16</v>
      </c>
      <c r="AW500">
        <v>10</v>
      </c>
      <c r="AX500" t="s">
        <v>74</v>
      </c>
      <c r="AY500" t="s">
        <v>74</v>
      </c>
      <c r="AZ500" t="s">
        <v>74</v>
      </c>
      <c r="BA500" t="s">
        <v>74</v>
      </c>
      <c r="BB500">
        <v>1583</v>
      </c>
      <c r="BC500">
        <v>1592</v>
      </c>
      <c r="BD500" t="s">
        <v>74</v>
      </c>
      <c r="BE500" t="s">
        <v>7395</v>
      </c>
      <c r="BF500" t="str">
        <f>HYPERLINK("http://dx.doi.org/10.1175/1520-0442-16.10.1583","http://dx.doi.org/10.1175/1520-0442-16.10.1583")</f>
        <v>http://dx.doi.org/10.1175/1520-0442-16.10.1583</v>
      </c>
      <c r="BG500" t="s">
        <v>74</v>
      </c>
      <c r="BH500" t="s">
        <v>74</v>
      </c>
      <c r="BI500">
        <v>10</v>
      </c>
      <c r="BJ500" t="s">
        <v>93</v>
      </c>
      <c r="BK500" t="s">
        <v>94</v>
      </c>
      <c r="BL500" t="s">
        <v>93</v>
      </c>
      <c r="BM500" t="s">
        <v>7386</v>
      </c>
      <c r="BN500" t="s">
        <v>74</v>
      </c>
      <c r="BO500" t="s">
        <v>759</v>
      </c>
      <c r="BP500" t="s">
        <v>74</v>
      </c>
      <c r="BQ500" t="s">
        <v>74</v>
      </c>
      <c r="BR500" t="s">
        <v>97</v>
      </c>
      <c r="BS500" t="s">
        <v>7396</v>
      </c>
      <c r="BT500" t="str">
        <f>HYPERLINK("https%3A%2F%2Fwww.webofscience.com%2Fwos%2Fwoscc%2Ffull-record%2FWOS:000182699500012","View Full Record in Web of Science")</f>
        <v>View Full Record in Web of Science</v>
      </c>
    </row>
    <row r="501" spans="1:72" x14ac:dyDescent="0.15">
      <c r="A501" t="s">
        <v>72</v>
      </c>
      <c r="B501" t="s">
        <v>7397</v>
      </c>
      <c r="C501" t="s">
        <v>74</v>
      </c>
      <c r="D501" t="s">
        <v>74</v>
      </c>
      <c r="E501" t="s">
        <v>74</v>
      </c>
      <c r="F501" t="s">
        <v>7397</v>
      </c>
      <c r="G501" t="s">
        <v>74</v>
      </c>
      <c r="H501" t="s">
        <v>74</v>
      </c>
      <c r="I501" t="s">
        <v>7398</v>
      </c>
      <c r="J501" t="s">
        <v>76</v>
      </c>
      <c r="K501" t="s">
        <v>74</v>
      </c>
      <c r="L501" t="s">
        <v>74</v>
      </c>
      <c r="M501" t="s">
        <v>77</v>
      </c>
      <c r="N501" t="s">
        <v>78</v>
      </c>
      <c r="O501" t="s">
        <v>74</v>
      </c>
      <c r="P501" t="s">
        <v>74</v>
      </c>
      <c r="Q501" t="s">
        <v>74</v>
      </c>
      <c r="R501" t="s">
        <v>74</v>
      </c>
      <c r="S501" t="s">
        <v>74</v>
      </c>
      <c r="T501" t="s">
        <v>74</v>
      </c>
      <c r="U501" t="s">
        <v>7399</v>
      </c>
      <c r="V501" t="s">
        <v>7400</v>
      </c>
      <c r="W501" t="s">
        <v>7401</v>
      </c>
      <c r="X501" t="s">
        <v>7402</v>
      </c>
      <c r="Y501" t="s">
        <v>7403</v>
      </c>
      <c r="Z501" t="s">
        <v>7404</v>
      </c>
      <c r="AA501" t="s">
        <v>7405</v>
      </c>
      <c r="AB501" t="s">
        <v>7406</v>
      </c>
      <c r="AC501" t="s">
        <v>74</v>
      </c>
      <c r="AD501" t="s">
        <v>74</v>
      </c>
      <c r="AE501" t="s">
        <v>74</v>
      </c>
      <c r="AF501" t="s">
        <v>74</v>
      </c>
      <c r="AG501">
        <v>31</v>
      </c>
      <c r="AH501">
        <v>236</v>
      </c>
      <c r="AI501">
        <v>274</v>
      </c>
      <c r="AJ501">
        <v>0</v>
      </c>
      <c r="AK501">
        <v>19</v>
      </c>
      <c r="AL501" t="s">
        <v>85</v>
      </c>
      <c r="AM501" t="s">
        <v>86</v>
      </c>
      <c r="AN501" t="s">
        <v>87</v>
      </c>
      <c r="AO501" t="s">
        <v>88</v>
      </c>
      <c r="AP501" t="s">
        <v>755</v>
      </c>
      <c r="AQ501" t="s">
        <v>74</v>
      </c>
      <c r="AR501" t="s">
        <v>89</v>
      </c>
      <c r="AS501" t="s">
        <v>90</v>
      </c>
      <c r="AT501" t="s">
        <v>7362</v>
      </c>
      <c r="AU501">
        <v>2003</v>
      </c>
      <c r="AV501">
        <v>16</v>
      </c>
      <c r="AW501">
        <v>10</v>
      </c>
      <c r="AX501" t="s">
        <v>74</v>
      </c>
      <c r="AY501" t="s">
        <v>74</v>
      </c>
      <c r="AZ501" t="s">
        <v>74</v>
      </c>
      <c r="BA501" t="s">
        <v>74</v>
      </c>
      <c r="BB501">
        <v>1601</v>
      </c>
      <c r="BC501">
        <v>1612</v>
      </c>
      <c r="BD501" t="s">
        <v>74</v>
      </c>
      <c r="BE501" t="s">
        <v>7407</v>
      </c>
      <c r="BF501" t="str">
        <f>HYPERLINK("http://dx.doi.org/10.1175/1520-0442-16.10.1601","http://dx.doi.org/10.1175/1520-0442-16.10.1601")</f>
        <v>http://dx.doi.org/10.1175/1520-0442-16.10.1601</v>
      </c>
      <c r="BG501" t="s">
        <v>74</v>
      </c>
      <c r="BH501" t="s">
        <v>74</v>
      </c>
      <c r="BI501">
        <v>12</v>
      </c>
      <c r="BJ501" t="s">
        <v>93</v>
      </c>
      <c r="BK501" t="s">
        <v>94</v>
      </c>
      <c r="BL501" t="s">
        <v>93</v>
      </c>
      <c r="BM501" t="s">
        <v>7386</v>
      </c>
      <c r="BN501" t="s">
        <v>74</v>
      </c>
      <c r="BO501" t="s">
        <v>74</v>
      </c>
      <c r="BP501" t="s">
        <v>74</v>
      </c>
      <c r="BQ501" t="s">
        <v>74</v>
      </c>
      <c r="BR501" t="s">
        <v>97</v>
      </c>
      <c r="BS501" t="s">
        <v>7408</v>
      </c>
      <c r="BT501" t="str">
        <f>HYPERLINK("https%3A%2F%2Fwww.webofscience.com%2Fwos%2Fwoscc%2Ffull-record%2FWOS:000182699500014","View Full Record in Web of Science")</f>
        <v>View Full Record in Web of Science</v>
      </c>
    </row>
    <row r="502" spans="1:72" x14ac:dyDescent="0.15">
      <c r="A502" t="s">
        <v>72</v>
      </c>
      <c r="B502" t="s">
        <v>7409</v>
      </c>
      <c r="C502" t="s">
        <v>74</v>
      </c>
      <c r="D502" t="s">
        <v>74</v>
      </c>
      <c r="E502" t="s">
        <v>74</v>
      </c>
      <c r="F502" t="s">
        <v>7409</v>
      </c>
      <c r="G502" t="s">
        <v>74</v>
      </c>
      <c r="H502" t="s">
        <v>74</v>
      </c>
      <c r="I502" t="s">
        <v>7410</v>
      </c>
      <c r="J502" t="s">
        <v>728</v>
      </c>
      <c r="K502" t="s">
        <v>74</v>
      </c>
      <c r="L502" t="s">
        <v>74</v>
      </c>
      <c r="M502" t="s">
        <v>77</v>
      </c>
      <c r="N502" t="s">
        <v>78</v>
      </c>
      <c r="O502" t="s">
        <v>74</v>
      </c>
      <c r="P502" t="s">
        <v>74</v>
      </c>
      <c r="Q502" t="s">
        <v>74</v>
      </c>
      <c r="R502" t="s">
        <v>74</v>
      </c>
      <c r="S502" t="s">
        <v>74</v>
      </c>
      <c r="T502" t="s">
        <v>7411</v>
      </c>
      <c r="U502" t="s">
        <v>7412</v>
      </c>
      <c r="V502" t="s">
        <v>7413</v>
      </c>
      <c r="W502" t="s">
        <v>7414</v>
      </c>
      <c r="X502" t="s">
        <v>7415</v>
      </c>
      <c r="Y502" t="s">
        <v>4920</v>
      </c>
      <c r="Z502" t="s">
        <v>7416</v>
      </c>
      <c r="AA502" t="s">
        <v>7417</v>
      </c>
      <c r="AB502" t="s">
        <v>7418</v>
      </c>
      <c r="AC502" t="s">
        <v>74</v>
      </c>
      <c r="AD502" t="s">
        <v>74</v>
      </c>
      <c r="AE502" t="s">
        <v>74</v>
      </c>
      <c r="AF502" t="s">
        <v>74</v>
      </c>
      <c r="AG502">
        <v>50</v>
      </c>
      <c r="AH502">
        <v>183</v>
      </c>
      <c r="AI502">
        <v>206</v>
      </c>
      <c r="AJ502">
        <v>0</v>
      </c>
      <c r="AK502">
        <v>14</v>
      </c>
      <c r="AL502" t="s">
        <v>539</v>
      </c>
      <c r="AM502" t="s">
        <v>540</v>
      </c>
      <c r="AN502" t="s">
        <v>541</v>
      </c>
      <c r="AO502" t="s">
        <v>736</v>
      </c>
      <c r="AP502" t="s">
        <v>737</v>
      </c>
      <c r="AQ502" t="s">
        <v>74</v>
      </c>
      <c r="AR502" t="s">
        <v>738</v>
      </c>
      <c r="AS502" t="s">
        <v>739</v>
      </c>
      <c r="AT502" t="s">
        <v>7362</v>
      </c>
      <c r="AU502">
        <v>2003</v>
      </c>
      <c r="AV502">
        <v>108</v>
      </c>
      <c r="AW502" t="s">
        <v>7419</v>
      </c>
      <c r="AX502" t="s">
        <v>74</v>
      </c>
      <c r="AY502" t="s">
        <v>74</v>
      </c>
      <c r="AZ502" t="s">
        <v>74</v>
      </c>
      <c r="BA502" t="s">
        <v>74</v>
      </c>
      <c r="BB502" t="s">
        <v>74</v>
      </c>
      <c r="BC502" t="s">
        <v>74</v>
      </c>
      <c r="BD502">
        <v>2253</v>
      </c>
      <c r="BE502" t="s">
        <v>7420</v>
      </c>
      <c r="BF502" t="str">
        <f>HYPERLINK("http://dx.doi.org/10.1029/2002JB002107","http://dx.doi.org/10.1029/2002JB002107")</f>
        <v>http://dx.doi.org/10.1029/2002JB002107</v>
      </c>
      <c r="BG502" t="s">
        <v>74</v>
      </c>
      <c r="BH502" t="s">
        <v>74</v>
      </c>
      <c r="BI502">
        <v>19</v>
      </c>
      <c r="BJ502" t="s">
        <v>176</v>
      </c>
      <c r="BK502" t="s">
        <v>94</v>
      </c>
      <c r="BL502" t="s">
        <v>176</v>
      </c>
      <c r="BM502" t="s">
        <v>7421</v>
      </c>
      <c r="BN502" t="s">
        <v>74</v>
      </c>
      <c r="BO502" t="s">
        <v>74</v>
      </c>
      <c r="BP502" t="s">
        <v>74</v>
      </c>
      <c r="BQ502" t="s">
        <v>74</v>
      </c>
      <c r="BR502" t="s">
        <v>97</v>
      </c>
      <c r="BS502" t="s">
        <v>7422</v>
      </c>
      <c r="BT502" t="str">
        <f>HYPERLINK("https%3A%2F%2Fwww.webofscience.com%2Fwos%2Fwoscc%2Ffull-record%2FWOS:000183107800005","View Full Record in Web of Science")</f>
        <v>View Full Record in Web of Science</v>
      </c>
    </row>
    <row r="503" spans="1:72" x14ac:dyDescent="0.15">
      <c r="A503" t="s">
        <v>72</v>
      </c>
      <c r="B503" t="s">
        <v>7423</v>
      </c>
      <c r="C503" t="s">
        <v>74</v>
      </c>
      <c r="D503" t="s">
        <v>74</v>
      </c>
      <c r="E503" t="s">
        <v>74</v>
      </c>
      <c r="F503" t="s">
        <v>7423</v>
      </c>
      <c r="G503" t="s">
        <v>74</v>
      </c>
      <c r="H503" t="s">
        <v>74</v>
      </c>
      <c r="I503" t="s">
        <v>7424</v>
      </c>
      <c r="J503" t="s">
        <v>665</v>
      </c>
      <c r="K503" t="s">
        <v>74</v>
      </c>
      <c r="L503" t="s">
        <v>74</v>
      </c>
      <c r="M503" t="s">
        <v>77</v>
      </c>
      <c r="N503" t="s">
        <v>78</v>
      </c>
      <c r="O503" t="s">
        <v>74</v>
      </c>
      <c r="P503" t="s">
        <v>74</v>
      </c>
      <c r="Q503" t="s">
        <v>74</v>
      </c>
      <c r="R503" t="s">
        <v>74</v>
      </c>
      <c r="S503" t="s">
        <v>74</v>
      </c>
      <c r="T503" t="s">
        <v>7425</v>
      </c>
      <c r="U503" t="s">
        <v>7426</v>
      </c>
      <c r="V503" t="s">
        <v>7427</v>
      </c>
      <c r="W503" t="s">
        <v>7428</v>
      </c>
      <c r="X503" t="s">
        <v>7429</v>
      </c>
      <c r="Y503" t="s">
        <v>7430</v>
      </c>
      <c r="Z503" t="s">
        <v>7431</v>
      </c>
      <c r="AA503" t="s">
        <v>74</v>
      </c>
      <c r="AB503" t="s">
        <v>7432</v>
      </c>
      <c r="AC503" t="s">
        <v>74</v>
      </c>
      <c r="AD503" t="s">
        <v>74</v>
      </c>
      <c r="AE503" t="s">
        <v>74</v>
      </c>
      <c r="AF503" t="s">
        <v>74</v>
      </c>
      <c r="AG503">
        <v>39</v>
      </c>
      <c r="AH503">
        <v>42</v>
      </c>
      <c r="AI503">
        <v>45</v>
      </c>
      <c r="AJ503">
        <v>0</v>
      </c>
      <c r="AK503">
        <v>15</v>
      </c>
      <c r="AL503" t="s">
        <v>539</v>
      </c>
      <c r="AM503" t="s">
        <v>540</v>
      </c>
      <c r="AN503" t="s">
        <v>541</v>
      </c>
      <c r="AO503" t="s">
        <v>672</v>
      </c>
      <c r="AP503" t="s">
        <v>673</v>
      </c>
      <c r="AQ503" t="s">
        <v>74</v>
      </c>
      <c r="AR503" t="s">
        <v>674</v>
      </c>
      <c r="AS503" t="s">
        <v>675</v>
      </c>
      <c r="AT503" t="s">
        <v>7433</v>
      </c>
      <c r="AU503">
        <v>2003</v>
      </c>
      <c r="AV503">
        <v>108</v>
      </c>
      <c r="AW503" t="s">
        <v>7236</v>
      </c>
      <c r="AX503" t="s">
        <v>74</v>
      </c>
      <c r="AY503" t="s">
        <v>74</v>
      </c>
      <c r="AZ503" t="s">
        <v>74</v>
      </c>
      <c r="BA503" t="s">
        <v>74</v>
      </c>
      <c r="BB503" t="s">
        <v>74</v>
      </c>
      <c r="BC503" t="s">
        <v>74</v>
      </c>
      <c r="BD503">
        <v>3145</v>
      </c>
      <c r="BE503" t="s">
        <v>7434</v>
      </c>
      <c r="BF503" t="str">
        <f>HYPERLINK("http://dx.doi.org/10.1029/2002JC001369","http://dx.doi.org/10.1029/2002JC001369")</f>
        <v>http://dx.doi.org/10.1029/2002JC001369</v>
      </c>
      <c r="BG503" t="s">
        <v>74</v>
      </c>
      <c r="BH503" t="s">
        <v>74</v>
      </c>
      <c r="BI503">
        <v>11</v>
      </c>
      <c r="BJ503" t="s">
        <v>678</v>
      </c>
      <c r="BK503" t="s">
        <v>94</v>
      </c>
      <c r="BL503" t="s">
        <v>678</v>
      </c>
      <c r="BM503" t="s">
        <v>7435</v>
      </c>
      <c r="BN503" t="s">
        <v>74</v>
      </c>
      <c r="BO503" t="s">
        <v>74</v>
      </c>
      <c r="BP503" t="s">
        <v>74</v>
      </c>
      <c r="BQ503" t="s">
        <v>74</v>
      </c>
      <c r="BR503" t="s">
        <v>97</v>
      </c>
      <c r="BS503" t="s">
        <v>7436</v>
      </c>
      <c r="BT503" t="str">
        <f>HYPERLINK("https%3A%2F%2Fwww.webofscience.com%2Fwos%2Fwoscc%2Ffull-record%2FWOS:000183105700002","View Full Record in Web of Science")</f>
        <v>View Full Record in Web of Science</v>
      </c>
    </row>
    <row r="504" spans="1:72" x14ac:dyDescent="0.15">
      <c r="A504" t="s">
        <v>72</v>
      </c>
      <c r="B504" t="s">
        <v>7437</v>
      </c>
      <c r="C504" t="s">
        <v>74</v>
      </c>
      <c r="D504" t="s">
        <v>74</v>
      </c>
      <c r="E504" t="s">
        <v>74</v>
      </c>
      <c r="F504" t="s">
        <v>7437</v>
      </c>
      <c r="G504" t="s">
        <v>74</v>
      </c>
      <c r="H504" t="s">
        <v>74</v>
      </c>
      <c r="I504" t="s">
        <v>7438</v>
      </c>
      <c r="J504" t="s">
        <v>728</v>
      </c>
      <c r="K504" t="s">
        <v>74</v>
      </c>
      <c r="L504" t="s">
        <v>74</v>
      </c>
      <c r="M504" t="s">
        <v>77</v>
      </c>
      <c r="N504" t="s">
        <v>78</v>
      </c>
      <c r="O504" t="s">
        <v>74</v>
      </c>
      <c r="P504" t="s">
        <v>74</v>
      </c>
      <c r="Q504" t="s">
        <v>74</v>
      </c>
      <c r="R504" t="s">
        <v>74</v>
      </c>
      <c r="S504" t="s">
        <v>74</v>
      </c>
      <c r="T504" t="s">
        <v>7439</v>
      </c>
      <c r="U504" t="s">
        <v>7440</v>
      </c>
      <c r="V504" t="s">
        <v>7441</v>
      </c>
      <c r="W504" t="s">
        <v>7442</v>
      </c>
      <c r="X504" t="s">
        <v>7443</v>
      </c>
      <c r="Y504" t="s">
        <v>7444</v>
      </c>
      <c r="Z504" t="s">
        <v>7445</v>
      </c>
      <c r="AA504" t="s">
        <v>74</v>
      </c>
      <c r="AB504" t="s">
        <v>7446</v>
      </c>
      <c r="AC504" t="s">
        <v>74</v>
      </c>
      <c r="AD504" t="s">
        <v>74</v>
      </c>
      <c r="AE504" t="s">
        <v>74</v>
      </c>
      <c r="AF504" t="s">
        <v>74</v>
      </c>
      <c r="AG504">
        <v>34</v>
      </c>
      <c r="AH504">
        <v>60</v>
      </c>
      <c r="AI504">
        <v>65</v>
      </c>
      <c r="AJ504">
        <v>0</v>
      </c>
      <c r="AK504">
        <v>16</v>
      </c>
      <c r="AL504" t="s">
        <v>539</v>
      </c>
      <c r="AM504" t="s">
        <v>540</v>
      </c>
      <c r="AN504" t="s">
        <v>541</v>
      </c>
      <c r="AO504" t="s">
        <v>736</v>
      </c>
      <c r="AP504" t="s">
        <v>737</v>
      </c>
      <c r="AQ504" t="s">
        <v>74</v>
      </c>
      <c r="AR504" t="s">
        <v>738</v>
      </c>
      <c r="AS504" t="s">
        <v>739</v>
      </c>
      <c r="AT504" t="s">
        <v>7433</v>
      </c>
      <c r="AU504">
        <v>2003</v>
      </c>
      <c r="AV504">
        <v>108</v>
      </c>
      <c r="AW504" t="s">
        <v>7419</v>
      </c>
      <c r="AX504" t="s">
        <v>74</v>
      </c>
      <c r="AY504" t="s">
        <v>74</v>
      </c>
      <c r="AZ504" t="s">
        <v>74</v>
      </c>
      <c r="BA504" t="s">
        <v>74</v>
      </c>
      <c r="BB504" t="s">
        <v>74</v>
      </c>
      <c r="BC504" t="s">
        <v>74</v>
      </c>
      <c r="BD504">
        <v>2244</v>
      </c>
      <c r="BE504" t="s">
        <v>7447</v>
      </c>
      <c r="BF504" t="str">
        <f>HYPERLINK("http://dx.doi.org/10.1029/2001JB001390","http://dx.doi.org/10.1029/2001JB001390")</f>
        <v>http://dx.doi.org/10.1029/2001JB001390</v>
      </c>
      <c r="BG504" t="s">
        <v>74</v>
      </c>
      <c r="BH504" t="s">
        <v>74</v>
      </c>
      <c r="BI504">
        <v>19</v>
      </c>
      <c r="BJ504" t="s">
        <v>176</v>
      </c>
      <c r="BK504" t="s">
        <v>94</v>
      </c>
      <c r="BL504" t="s">
        <v>176</v>
      </c>
      <c r="BM504" t="s">
        <v>7448</v>
      </c>
      <c r="BN504" t="s">
        <v>74</v>
      </c>
      <c r="BO504" t="s">
        <v>96</v>
      </c>
      <c r="BP504" t="s">
        <v>74</v>
      </c>
      <c r="BQ504" t="s">
        <v>74</v>
      </c>
      <c r="BR504" t="s">
        <v>97</v>
      </c>
      <c r="BS504" t="s">
        <v>7449</v>
      </c>
      <c r="BT504" t="str">
        <f>HYPERLINK("https%3A%2F%2Fwww.webofscience.com%2Fwos%2Fwoscc%2Ffull-record%2FWOS:000183107700003","View Full Record in Web of Science")</f>
        <v>View Full Record in Web of Science</v>
      </c>
    </row>
    <row r="505" spans="1:72" x14ac:dyDescent="0.15">
      <c r="A505" t="s">
        <v>72</v>
      </c>
      <c r="B505" t="s">
        <v>7450</v>
      </c>
      <c r="C505" t="s">
        <v>74</v>
      </c>
      <c r="D505" t="s">
        <v>74</v>
      </c>
      <c r="E505" t="s">
        <v>74</v>
      </c>
      <c r="F505" t="s">
        <v>7450</v>
      </c>
      <c r="G505" t="s">
        <v>74</v>
      </c>
      <c r="H505" t="s">
        <v>74</v>
      </c>
      <c r="I505" t="s">
        <v>7451</v>
      </c>
      <c r="J505" t="s">
        <v>578</v>
      </c>
      <c r="K505" t="s">
        <v>74</v>
      </c>
      <c r="L505" t="s">
        <v>74</v>
      </c>
      <c r="M505" t="s">
        <v>77</v>
      </c>
      <c r="N505" t="s">
        <v>78</v>
      </c>
      <c r="O505" t="s">
        <v>74</v>
      </c>
      <c r="P505" t="s">
        <v>74</v>
      </c>
      <c r="Q505" t="s">
        <v>74</v>
      </c>
      <c r="R505" t="s">
        <v>74</v>
      </c>
      <c r="S505" t="s">
        <v>74</v>
      </c>
      <c r="T505" t="s">
        <v>7452</v>
      </c>
      <c r="U505" t="s">
        <v>7453</v>
      </c>
      <c r="V505" t="s">
        <v>7454</v>
      </c>
      <c r="W505" t="s">
        <v>7455</v>
      </c>
      <c r="X505" t="s">
        <v>7456</v>
      </c>
      <c r="Y505" t="s">
        <v>7457</v>
      </c>
      <c r="Z505" t="s">
        <v>7458</v>
      </c>
      <c r="AA505" t="s">
        <v>7459</v>
      </c>
      <c r="AB505" t="s">
        <v>7460</v>
      </c>
      <c r="AC505" t="s">
        <v>74</v>
      </c>
      <c r="AD505" t="s">
        <v>74</v>
      </c>
      <c r="AE505" t="s">
        <v>74</v>
      </c>
      <c r="AF505" t="s">
        <v>74</v>
      </c>
      <c r="AG505">
        <v>90</v>
      </c>
      <c r="AH505">
        <v>59</v>
      </c>
      <c r="AI505">
        <v>61</v>
      </c>
      <c r="AJ505">
        <v>0</v>
      </c>
      <c r="AK505">
        <v>6</v>
      </c>
      <c r="AL505" t="s">
        <v>539</v>
      </c>
      <c r="AM505" t="s">
        <v>540</v>
      </c>
      <c r="AN505" t="s">
        <v>541</v>
      </c>
      <c r="AO505" t="s">
        <v>588</v>
      </c>
      <c r="AP505" t="s">
        <v>74</v>
      </c>
      <c r="AQ505" t="s">
        <v>74</v>
      </c>
      <c r="AR505" t="s">
        <v>589</v>
      </c>
      <c r="AS505" t="s">
        <v>590</v>
      </c>
      <c r="AT505" t="s">
        <v>7461</v>
      </c>
      <c r="AU505">
        <v>2003</v>
      </c>
      <c r="AV505">
        <v>108</v>
      </c>
      <c r="AW505" t="s">
        <v>7462</v>
      </c>
      <c r="AX505" t="s">
        <v>74</v>
      </c>
      <c r="AY505" t="s">
        <v>74</v>
      </c>
      <c r="AZ505" t="s">
        <v>74</v>
      </c>
      <c r="BA505" t="s">
        <v>74</v>
      </c>
      <c r="BB505" t="s">
        <v>74</v>
      </c>
      <c r="BC505" t="s">
        <v>74</v>
      </c>
      <c r="BD505">
        <v>4290</v>
      </c>
      <c r="BE505" t="s">
        <v>7463</v>
      </c>
      <c r="BF505" t="str">
        <f>HYPERLINK("http://dx.doi.org/10.1029/2002JD002971","http://dx.doi.org/10.1029/2002JD002971")</f>
        <v>http://dx.doi.org/10.1029/2002JD002971</v>
      </c>
      <c r="BG505" t="s">
        <v>74</v>
      </c>
      <c r="BH505" t="s">
        <v>74</v>
      </c>
      <c r="BI505">
        <v>24</v>
      </c>
      <c r="BJ505" t="s">
        <v>93</v>
      </c>
      <c r="BK505" t="s">
        <v>94</v>
      </c>
      <c r="BL505" t="s">
        <v>93</v>
      </c>
      <c r="BM505" t="s">
        <v>7464</v>
      </c>
      <c r="BN505" t="s">
        <v>74</v>
      </c>
      <c r="BO505" t="s">
        <v>141</v>
      </c>
      <c r="BP505" t="s">
        <v>74</v>
      </c>
      <c r="BQ505" t="s">
        <v>74</v>
      </c>
      <c r="BR505" t="s">
        <v>97</v>
      </c>
      <c r="BS505" t="s">
        <v>7465</v>
      </c>
      <c r="BT505" t="str">
        <f>HYPERLINK("https%3A%2F%2Fwww.webofscience.com%2Fwos%2Fwoscc%2Ffull-record%2FWOS:000183103300011","View Full Record in Web of Science")</f>
        <v>View Full Record in Web of Science</v>
      </c>
    </row>
    <row r="506" spans="1:72" x14ac:dyDescent="0.15">
      <c r="A506" t="s">
        <v>72</v>
      </c>
      <c r="B506" t="s">
        <v>7466</v>
      </c>
      <c r="C506" t="s">
        <v>74</v>
      </c>
      <c r="D506" t="s">
        <v>74</v>
      </c>
      <c r="E506" t="s">
        <v>74</v>
      </c>
      <c r="F506" t="s">
        <v>7466</v>
      </c>
      <c r="G506" t="s">
        <v>74</v>
      </c>
      <c r="H506" t="s">
        <v>74</v>
      </c>
      <c r="I506" t="s">
        <v>7467</v>
      </c>
      <c r="J506" t="s">
        <v>665</v>
      </c>
      <c r="K506" t="s">
        <v>74</v>
      </c>
      <c r="L506" t="s">
        <v>74</v>
      </c>
      <c r="M506" t="s">
        <v>77</v>
      </c>
      <c r="N506" t="s">
        <v>78</v>
      </c>
      <c r="O506" t="s">
        <v>74</v>
      </c>
      <c r="P506" t="s">
        <v>74</v>
      </c>
      <c r="Q506" t="s">
        <v>74</v>
      </c>
      <c r="R506" t="s">
        <v>74</v>
      </c>
      <c r="S506" t="s">
        <v>74</v>
      </c>
      <c r="T506" t="s">
        <v>7468</v>
      </c>
      <c r="U506" t="s">
        <v>7469</v>
      </c>
      <c r="V506" t="s">
        <v>7470</v>
      </c>
      <c r="W506" t="s">
        <v>7471</v>
      </c>
      <c r="X506" t="s">
        <v>7472</v>
      </c>
      <c r="Y506" t="s">
        <v>7473</v>
      </c>
      <c r="Z506" t="s">
        <v>7474</v>
      </c>
      <c r="AA506" t="s">
        <v>7475</v>
      </c>
      <c r="AB506" t="s">
        <v>7476</v>
      </c>
      <c r="AC506" t="s">
        <v>74</v>
      </c>
      <c r="AD506" t="s">
        <v>74</v>
      </c>
      <c r="AE506" t="s">
        <v>74</v>
      </c>
      <c r="AF506" t="s">
        <v>74</v>
      </c>
      <c r="AG506">
        <v>60</v>
      </c>
      <c r="AH506">
        <v>88</v>
      </c>
      <c r="AI506">
        <v>94</v>
      </c>
      <c r="AJ506">
        <v>2</v>
      </c>
      <c r="AK506">
        <v>10</v>
      </c>
      <c r="AL506" t="s">
        <v>539</v>
      </c>
      <c r="AM506" t="s">
        <v>540</v>
      </c>
      <c r="AN506" t="s">
        <v>541</v>
      </c>
      <c r="AO506" t="s">
        <v>672</v>
      </c>
      <c r="AP506" t="s">
        <v>673</v>
      </c>
      <c r="AQ506" t="s">
        <v>74</v>
      </c>
      <c r="AR506" t="s">
        <v>674</v>
      </c>
      <c r="AS506" t="s">
        <v>675</v>
      </c>
      <c r="AT506" t="s">
        <v>7461</v>
      </c>
      <c r="AU506">
        <v>2003</v>
      </c>
      <c r="AV506">
        <v>108</v>
      </c>
      <c r="AW506" t="s">
        <v>7236</v>
      </c>
      <c r="AX506" t="s">
        <v>74</v>
      </c>
      <c r="AY506" t="s">
        <v>74</v>
      </c>
      <c r="AZ506" t="s">
        <v>74</v>
      </c>
      <c r="BA506" t="s">
        <v>74</v>
      </c>
      <c r="BB506" t="s">
        <v>74</v>
      </c>
      <c r="BC506" t="s">
        <v>74</v>
      </c>
      <c r="BD506">
        <v>3143</v>
      </c>
      <c r="BE506" t="s">
        <v>7477</v>
      </c>
      <c r="BF506" t="str">
        <f>HYPERLINK("http://dx.doi.org/10.1029/2001JC001195","http://dx.doi.org/10.1029/2001JC001195")</f>
        <v>http://dx.doi.org/10.1029/2001JC001195</v>
      </c>
      <c r="BG506" t="s">
        <v>74</v>
      </c>
      <c r="BH506" t="s">
        <v>74</v>
      </c>
      <c r="BI506">
        <v>16</v>
      </c>
      <c r="BJ506" t="s">
        <v>678</v>
      </c>
      <c r="BK506" t="s">
        <v>94</v>
      </c>
      <c r="BL506" t="s">
        <v>678</v>
      </c>
      <c r="BM506" t="s">
        <v>7478</v>
      </c>
      <c r="BN506" t="s">
        <v>74</v>
      </c>
      <c r="BO506" t="s">
        <v>74</v>
      </c>
      <c r="BP506" t="s">
        <v>74</v>
      </c>
      <c r="BQ506" t="s">
        <v>74</v>
      </c>
      <c r="BR506" t="s">
        <v>97</v>
      </c>
      <c r="BS506" t="s">
        <v>7479</v>
      </c>
      <c r="BT506" t="str">
        <f>HYPERLINK("https%3A%2F%2Fwww.webofscience.com%2Fwos%2Fwoscc%2Ffull-record%2FWOS:000183105500002","View Full Record in Web of Science")</f>
        <v>View Full Record in Web of Science</v>
      </c>
    </row>
    <row r="507" spans="1:72" x14ac:dyDescent="0.15">
      <c r="A507" t="s">
        <v>72</v>
      </c>
      <c r="B507" t="s">
        <v>7480</v>
      </c>
      <c r="C507" t="s">
        <v>74</v>
      </c>
      <c r="D507" t="s">
        <v>74</v>
      </c>
      <c r="E507" t="s">
        <v>74</v>
      </c>
      <c r="F507" t="s">
        <v>7480</v>
      </c>
      <c r="G507" t="s">
        <v>74</v>
      </c>
      <c r="H507" t="s">
        <v>74</v>
      </c>
      <c r="I507" t="s">
        <v>7481</v>
      </c>
      <c r="J507" t="s">
        <v>4208</v>
      </c>
      <c r="K507" t="s">
        <v>74</v>
      </c>
      <c r="L507" t="s">
        <v>74</v>
      </c>
      <c r="M507" t="s">
        <v>77</v>
      </c>
      <c r="N507" t="s">
        <v>773</v>
      </c>
      <c r="O507" t="s">
        <v>74</v>
      </c>
      <c r="P507" t="s">
        <v>74</v>
      </c>
      <c r="Q507" t="s">
        <v>74</v>
      </c>
      <c r="R507" t="s">
        <v>74</v>
      </c>
      <c r="S507" t="s">
        <v>74</v>
      </c>
      <c r="T507" t="s">
        <v>7482</v>
      </c>
      <c r="U507" t="s">
        <v>74</v>
      </c>
      <c r="V507" t="s">
        <v>74</v>
      </c>
      <c r="W507" t="s">
        <v>7483</v>
      </c>
      <c r="X507" t="s">
        <v>706</v>
      </c>
      <c r="Y507" t="s">
        <v>7484</v>
      </c>
      <c r="Z507" t="s">
        <v>7485</v>
      </c>
      <c r="AA507" t="s">
        <v>7486</v>
      </c>
      <c r="AB507" t="s">
        <v>7487</v>
      </c>
      <c r="AC507" t="s">
        <v>74</v>
      </c>
      <c r="AD507" t="s">
        <v>74</v>
      </c>
      <c r="AE507" t="s">
        <v>74</v>
      </c>
      <c r="AF507" t="s">
        <v>74</v>
      </c>
      <c r="AG507">
        <v>5</v>
      </c>
      <c r="AH507">
        <v>0</v>
      </c>
      <c r="AI507">
        <v>0</v>
      </c>
      <c r="AJ507">
        <v>0</v>
      </c>
      <c r="AK507">
        <v>0</v>
      </c>
      <c r="AL507" t="s">
        <v>539</v>
      </c>
      <c r="AM507" t="s">
        <v>540</v>
      </c>
      <c r="AN507" t="s">
        <v>541</v>
      </c>
      <c r="AO507" t="s">
        <v>4218</v>
      </c>
      <c r="AP507" t="s">
        <v>4219</v>
      </c>
      <c r="AQ507" t="s">
        <v>74</v>
      </c>
      <c r="AR507" t="s">
        <v>4220</v>
      </c>
      <c r="AS507" t="s">
        <v>4221</v>
      </c>
      <c r="AT507" t="s">
        <v>7461</v>
      </c>
      <c r="AU507">
        <v>2003</v>
      </c>
      <c r="AV507">
        <v>108</v>
      </c>
      <c r="AW507" t="s">
        <v>7488</v>
      </c>
      <c r="AX507" t="s">
        <v>74</v>
      </c>
      <c r="AY507" t="s">
        <v>74</v>
      </c>
      <c r="AZ507" t="s">
        <v>74</v>
      </c>
      <c r="BA507" t="s">
        <v>74</v>
      </c>
      <c r="BB507" t="s">
        <v>74</v>
      </c>
      <c r="BC507" t="s">
        <v>74</v>
      </c>
      <c r="BD507">
        <v>1178</v>
      </c>
      <c r="BE507" t="s">
        <v>7489</v>
      </c>
      <c r="BF507" t="str">
        <f>HYPERLINK("http://dx.doi.org/10.1029/2002JA009568","http://dx.doi.org/10.1029/2002JA009568")</f>
        <v>http://dx.doi.org/10.1029/2002JA009568</v>
      </c>
      <c r="BG507" t="s">
        <v>74</v>
      </c>
      <c r="BH507" t="s">
        <v>74</v>
      </c>
      <c r="BI507">
        <v>3</v>
      </c>
      <c r="BJ507" t="s">
        <v>1333</v>
      </c>
      <c r="BK507" t="s">
        <v>94</v>
      </c>
      <c r="BL507" t="s">
        <v>1333</v>
      </c>
      <c r="BM507" t="s">
        <v>7490</v>
      </c>
      <c r="BN507" t="s">
        <v>74</v>
      </c>
      <c r="BO507" t="s">
        <v>74</v>
      </c>
      <c r="BP507" t="s">
        <v>74</v>
      </c>
      <c r="BQ507" t="s">
        <v>74</v>
      </c>
      <c r="BR507" t="s">
        <v>97</v>
      </c>
      <c r="BS507" t="s">
        <v>7491</v>
      </c>
      <c r="BT507" t="str">
        <f>HYPERLINK("https%3A%2F%2Fwww.webofscience.com%2Fwos%2Fwoscc%2Ffull-record%2FWOS:000183108300003","View Full Record in Web of Science")</f>
        <v>View Full Record in Web of Science</v>
      </c>
    </row>
    <row r="508" spans="1:72" x14ac:dyDescent="0.15">
      <c r="A508" t="s">
        <v>72</v>
      </c>
      <c r="B508" t="s">
        <v>7492</v>
      </c>
      <c r="C508" t="s">
        <v>74</v>
      </c>
      <c r="D508" t="s">
        <v>74</v>
      </c>
      <c r="E508" t="s">
        <v>74</v>
      </c>
      <c r="F508" t="s">
        <v>7492</v>
      </c>
      <c r="G508" t="s">
        <v>74</v>
      </c>
      <c r="H508" t="s">
        <v>74</v>
      </c>
      <c r="I508" t="s">
        <v>7493</v>
      </c>
      <c r="J508" t="s">
        <v>7494</v>
      </c>
      <c r="K508" t="s">
        <v>74</v>
      </c>
      <c r="L508" t="s">
        <v>74</v>
      </c>
      <c r="M508" t="s">
        <v>77</v>
      </c>
      <c r="N508" t="s">
        <v>78</v>
      </c>
      <c r="O508" t="s">
        <v>74</v>
      </c>
      <c r="P508" t="s">
        <v>74</v>
      </c>
      <c r="Q508" t="s">
        <v>74</v>
      </c>
      <c r="R508" t="s">
        <v>74</v>
      </c>
      <c r="S508" t="s">
        <v>74</v>
      </c>
      <c r="T508" t="s">
        <v>7495</v>
      </c>
      <c r="U508" t="s">
        <v>7496</v>
      </c>
      <c r="V508" t="s">
        <v>7497</v>
      </c>
      <c r="W508" t="s">
        <v>7498</v>
      </c>
      <c r="X508" t="s">
        <v>7499</v>
      </c>
      <c r="Y508" t="s">
        <v>7500</v>
      </c>
      <c r="Z508" t="s">
        <v>74</v>
      </c>
      <c r="AA508" t="s">
        <v>7501</v>
      </c>
      <c r="AB508" t="s">
        <v>74</v>
      </c>
      <c r="AC508" t="s">
        <v>74</v>
      </c>
      <c r="AD508" t="s">
        <v>74</v>
      </c>
      <c r="AE508" t="s">
        <v>74</v>
      </c>
      <c r="AF508" t="s">
        <v>74</v>
      </c>
      <c r="AG508">
        <v>16</v>
      </c>
      <c r="AH508">
        <v>26</v>
      </c>
      <c r="AI508">
        <v>26</v>
      </c>
      <c r="AJ508">
        <v>1</v>
      </c>
      <c r="AK508">
        <v>7</v>
      </c>
      <c r="AL508" t="s">
        <v>963</v>
      </c>
      <c r="AM508" t="s">
        <v>964</v>
      </c>
      <c r="AN508" t="s">
        <v>965</v>
      </c>
      <c r="AO508" t="s">
        <v>7502</v>
      </c>
      <c r="AP508" t="s">
        <v>7503</v>
      </c>
      <c r="AQ508" t="s">
        <v>74</v>
      </c>
      <c r="AR508" t="s">
        <v>7504</v>
      </c>
      <c r="AS508" t="s">
        <v>7505</v>
      </c>
      <c r="AT508" t="s">
        <v>7506</v>
      </c>
      <c r="AU508">
        <v>2003</v>
      </c>
      <c r="AV508">
        <v>459</v>
      </c>
      <c r="AW508">
        <v>2033</v>
      </c>
      <c r="AX508" t="s">
        <v>74</v>
      </c>
      <c r="AY508" t="s">
        <v>74</v>
      </c>
      <c r="AZ508" t="s">
        <v>74</v>
      </c>
      <c r="BA508" t="s">
        <v>74</v>
      </c>
      <c r="BB508">
        <v>1063</v>
      </c>
      <c r="BC508">
        <v>1073</v>
      </c>
      <c r="BD508" t="s">
        <v>74</v>
      </c>
      <c r="BE508" t="s">
        <v>7507</v>
      </c>
      <c r="BF508" t="str">
        <f>HYPERLINK("http://dx.doi.org/10.1098/rspa.2002.1079","http://dx.doi.org/10.1098/rspa.2002.1079")</f>
        <v>http://dx.doi.org/10.1098/rspa.2002.1079</v>
      </c>
      <c r="BG508" t="s">
        <v>74</v>
      </c>
      <c r="BH508" t="s">
        <v>74</v>
      </c>
      <c r="BI508">
        <v>11</v>
      </c>
      <c r="BJ508" t="s">
        <v>971</v>
      </c>
      <c r="BK508" t="s">
        <v>94</v>
      </c>
      <c r="BL508" t="s">
        <v>972</v>
      </c>
      <c r="BM508" t="s">
        <v>7508</v>
      </c>
      <c r="BN508" t="s">
        <v>74</v>
      </c>
      <c r="BO508" t="s">
        <v>1619</v>
      </c>
      <c r="BP508" t="s">
        <v>74</v>
      </c>
      <c r="BQ508" t="s">
        <v>74</v>
      </c>
      <c r="BR508" t="s">
        <v>97</v>
      </c>
      <c r="BS508" t="s">
        <v>7509</v>
      </c>
      <c r="BT508" t="str">
        <f>HYPERLINK("https%3A%2F%2Fwww.webofscience.com%2Fwos%2Fwoscc%2Ffull-record%2FWOS:000182653900002","View Full Record in Web of Science")</f>
        <v>View Full Record in Web of Science</v>
      </c>
    </row>
    <row r="509" spans="1:72" x14ac:dyDescent="0.15">
      <c r="A509" t="s">
        <v>72</v>
      </c>
      <c r="B509" t="s">
        <v>7510</v>
      </c>
      <c r="C509" t="s">
        <v>74</v>
      </c>
      <c r="D509" t="s">
        <v>74</v>
      </c>
      <c r="E509" t="s">
        <v>74</v>
      </c>
      <c r="F509" t="s">
        <v>7510</v>
      </c>
      <c r="G509" t="s">
        <v>74</v>
      </c>
      <c r="H509" t="s">
        <v>74</v>
      </c>
      <c r="I509" t="s">
        <v>7511</v>
      </c>
      <c r="J509" t="s">
        <v>530</v>
      </c>
      <c r="K509" t="s">
        <v>74</v>
      </c>
      <c r="L509" t="s">
        <v>74</v>
      </c>
      <c r="M509" t="s">
        <v>77</v>
      </c>
      <c r="N509" t="s">
        <v>78</v>
      </c>
      <c r="O509" t="s">
        <v>74</v>
      </c>
      <c r="P509" t="s">
        <v>74</v>
      </c>
      <c r="Q509" t="s">
        <v>74</v>
      </c>
      <c r="R509" t="s">
        <v>74</v>
      </c>
      <c r="S509" t="s">
        <v>74</v>
      </c>
      <c r="T509" t="s">
        <v>74</v>
      </c>
      <c r="U509" t="s">
        <v>7512</v>
      </c>
      <c r="V509" t="s">
        <v>7513</v>
      </c>
      <c r="W509" t="s">
        <v>7514</v>
      </c>
      <c r="X509" t="s">
        <v>7515</v>
      </c>
      <c r="Y509" t="s">
        <v>7516</v>
      </c>
      <c r="Z509" t="s">
        <v>74</v>
      </c>
      <c r="AA509" t="s">
        <v>7517</v>
      </c>
      <c r="AB509" t="s">
        <v>7518</v>
      </c>
      <c r="AC509" t="s">
        <v>74</v>
      </c>
      <c r="AD509" t="s">
        <v>74</v>
      </c>
      <c r="AE509" t="s">
        <v>74</v>
      </c>
      <c r="AF509" t="s">
        <v>74</v>
      </c>
      <c r="AG509">
        <v>7</v>
      </c>
      <c r="AH509">
        <v>74</v>
      </c>
      <c r="AI509">
        <v>78</v>
      </c>
      <c r="AJ509">
        <v>1</v>
      </c>
      <c r="AK509">
        <v>4</v>
      </c>
      <c r="AL509" t="s">
        <v>539</v>
      </c>
      <c r="AM509" t="s">
        <v>540</v>
      </c>
      <c r="AN509" t="s">
        <v>541</v>
      </c>
      <c r="AO509" t="s">
        <v>542</v>
      </c>
      <c r="AP509" t="s">
        <v>74</v>
      </c>
      <c r="AQ509" t="s">
        <v>74</v>
      </c>
      <c r="AR509" t="s">
        <v>544</v>
      </c>
      <c r="AS509" t="s">
        <v>545</v>
      </c>
      <c r="AT509" t="s">
        <v>7519</v>
      </c>
      <c r="AU509">
        <v>2003</v>
      </c>
      <c r="AV509">
        <v>30</v>
      </c>
      <c r="AW509">
        <v>9</v>
      </c>
      <c r="AX509" t="s">
        <v>74</v>
      </c>
      <c r="AY509" t="s">
        <v>74</v>
      </c>
      <c r="AZ509" t="s">
        <v>74</v>
      </c>
      <c r="BA509" t="s">
        <v>74</v>
      </c>
      <c r="BB509" t="s">
        <v>74</v>
      </c>
      <c r="BC509" t="s">
        <v>74</v>
      </c>
      <c r="BD509">
        <v>1464</v>
      </c>
      <c r="BE509" t="s">
        <v>7520</v>
      </c>
      <c r="BF509" t="str">
        <f>HYPERLINK("http://dx.doi.org/10.1029/2003GL017240","http://dx.doi.org/10.1029/2003GL017240")</f>
        <v>http://dx.doi.org/10.1029/2003GL017240</v>
      </c>
      <c r="BG509" t="s">
        <v>74</v>
      </c>
      <c r="BH509" t="s">
        <v>74</v>
      </c>
      <c r="BI509">
        <v>4</v>
      </c>
      <c r="BJ509" t="s">
        <v>548</v>
      </c>
      <c r="BK509" t="s">
        <v>94</v>
      </c>
      <c r="BL509" t="s">
        <v>549</v>
      </c>
      <c r="BM509" t="s">
        <v>7521</v>
      </c>
      <c r="BN509" t="s">
        <v>74</v>
      </c>
      <c r="BO509" t="s">
        <v>141</v>
      </c>
      <c r="BP509" t="s">
        <v>74</v>
      </c>
      <c r="BQ509" t="s">
        <v>74</v>
      </c>
      <c r="BR509" t="s">
        <v>97</v>
      </c>
      <c r="BS509" t="s">
        <v>7522</v>
      </c>
      <c r="BT509" t="str">
        <f>HYPERLINK("https%3A%2F%2Fwww.webofscience.com%2Fwos%2Fwoscc%2Ffull-record%2FWOS:000182872900004","View Full Record in Web of Science")</f>
        <v>View Full Record in Web of Science</v>
      </c>
    </row>
    <row r="510" spans="1:72" x14ac:dyDescent="0.15">
      <c r="A510" t="s">
        <v>72</v>
      </c>
      <c r="B510" t="s">
        <v>7523</v>
      </c>
      <c r="C510" t="s">
        <v>74</v>
      </c>
      <c r="D510" t="s">
        <v>74</v>
      </c>
      <c r="E510" t="s">
        <v>74</v>
      </c>
      <c r="F510" t="s">
        <v>7523</v>
      </c>
      <c r="G510" t="s">
        <v>74</v>
      </c>
      <c r="H510" t="s">
        <v>74</v>
      </c>
      <c r="I510" t="s">
        <v>7524</v>
      </c>
      <c r="J510" t="s">
        <v>530</v>
      </c>
      <c r="K510" t="s">
        <v>74</v>
      </c>
      <c r="L510" t="s">
        <v>74</v>
      </c>
      <c r="M510" t="s">
        <v>77</v>
      </c>
      <c r="N510" t="s">
        <v>78</v>
      </c>
      <c r="O510" t="s">
        <v>74</v>
      </c>
      <c r="P510" t="s">
        <v>74</v>
      </c>
      <c r="Q510" t="s">
        <v>74</v>
      </c>
      <c r="R510" t="s">
        <v>74</v>
      </c>
      <c r="S510" t="s">
        <v>74</v>
      </c>
      <c r="T510" t="s">
        <v>74</v>
      </c>
      <c r="U510" t="s">
        <v>7525</v>
      </c>
      <c r="V510" t="s">
        <v>7526</v>
      </c>
      <c r="W510" t="s">
        <v>7527</v>
      </c>
      <c r="X510" t="s">
        <v>7528</v>
      </c>
      <c r="Y510" t="s">
        <v>7259</v>
      </c>
      <c r="Z510" t="s">
        <v>7529</v>
      </c>
      <c r="AA510" t="s">
        <v>7530</v>
      </c>
      <c r="AB510" t="s">
        <v>7531</v>
      </c>
      <c r="AC510" t="s">
        <v>74</v>
      </c>
      <c r="AD510" t="s">
        <v>74</v>
      </c>
      <c r="AE510" t="s">
        <v>74</v>
      </c>
      <c r="AF510" t="s">
        <v>74</v>
      </c>
      <c r="AG510">
        <v>22</v>
      </c>
      <c r="AH510">
        <v>17</v>
      </c>
      <c r="AI510">
        <v>17</v>
      </c>
      <c r="AJ510">
        <v>1</v>
      </c>
      <c r="AK510">
        <v>1</v>
      </c>
      <c r="AL510" t="s">
        <v>539</v>
      </c>
      <c r="AM510" t="s">
        <v>540</v>
      </c>
      <c r="AN510" t="s">
        <v>541</v>
      </c>
      <c r="AO510" t="s">
        <v>542</v>
      </c>
      <c r="AP510" t="s">
        <v>543</v>
      </c>
      <c r="AQ510" t="s">
        <v>74</v>
      </c>
      <c r="AR510" t="s">
        <v>544</v>
      </c>
      <c r="AS510" t="s">
        <v>545</v>
      </c>
      <c r="AT510" t="s">
        <v>7532</v>
      </c>
      <c r="AU510">
        <v>2003</v>
      </c>
      <c r="AV510">
        <v>30</v>
      </c>
      <c r="AW510">
        <v>9</v>
      </c>
      <c r="AX510" t="s">
        <v>74</v>
      </c>
      <c r="AY510" t="s">
        <v>74</v>
      </c>
      <c r="AZ510" t="s">
        <v>74</v>
      </c>
      <c r="BA510" t="s">
        <v>74</v>
      </c>
      <c r="BB510" t="s">
        <v>74</v>
      </c>
      <c r="BC510" t="s">
        <v>74</v>
      </c>
      <c r="BD510">
        <v>1462</v>
      </c>
      <c r="BE510" t="s">
        <v>7533</v>
      </c>
      <c r="BF510" t="str">
        <f>HYPERLINK("http://dx.doi.org/10.1029/2003GL017074","http://dx.doi.org/10.1029/2003GL017074")</f>
        <v>http://dx.doi.org/10.1029/2003GL017074</v>
      </c>
      <c r="BG510" t="s">
        <v>74</v>
      </c>
      <c r="BH510" t="s">
        <v>74</v>
      </c>
      <c r="BI510">
        <v>4</v>
      </c>
      <c r="BJ510" t="s">
        <v>548</v>
      </c>
      <c r="BK510" t="s">
        <v>94</v>
      </c>
      <c r="BL510" t="s">
        <v>549</v>
      </c>
      <c r="BM510" t="s">
        <v>7534</v>
      </c>
      <c r="BN510" t="s">
        <v>74</v>
      </c>
      <c r="BO510" t="s">
        <v>2139</v>
      </c>
      <c r="BP510" t="s">
        <v>74</v>
      </c>
      <c r="BQ510" t="s">
        <v>74</v>
      </c>
      <c r="BR510" t="s">
        <v>97</v>
      </c>
      <c r="BS510" t="s">
        <v>7535</v>
      </c>
      <c r="BT510" t="str">
        <f>HYPERLINK("https%3A%2F%2Fwww.webofscience.com%2Fwos%2Fwoscc%2Ffull-record%2FWOS:000187854900004","View Full Record in Web of Science")</f>
        <v>View Full Record in Web of Science</v>
      </c>
    </row>
    <row r="511" spans="1:72" x14ac:dyDescent="0.15">
      <c r="A511" t="s">
        <v>72</v>
      </c>
      <c r="B511" t="s">
        <v>7536</v>
      </c>
      <c r="C511" t="s">
        <v>74</v>
      </c>
      <c r="D511" t="s">
        <v>74</v>
      </c>
      <c r="E511" t="s">
        <v>74</v>
      </c>
      <c r="F511" t="s">
        <v>7536</v>
      </c>
      <c r="G511" t="s">
        <v>74</v>
      </c>
      <c r="H511" t="s">
        <v>74</v>
      </c>
      <c r="I511" t="s">
        <v>7537</v>
      </c>
      <c r="J511" t="s">
        <v>530</v>
      </c>
      <c r="K511" t="s">
        <v>74</v>
      </c>
      <c r="L511" t="s">
        <v>74</v>
      </c>
      <c r="M511" t="s">
        <v>77</v>
      </c>
      <c r="N511" t="s">
        <v>78</v>
      </c>
      <c r="O511" t="s">
        <v>74</v>
      </c>
      <c r="P511" t="s">
        <v>74</v>
      </c>
      <c r="Q511" t="s">
        <v>74</v>
      </c>
      <c r="R511" t="s">
        <v>74</v>
      </c>
      <c r="S511" t="s">
        <v>74</v>
      </c>
      <c r="T511" t="s">
        <v>74</v>
      </c>
      <c r="U511" t="s">
        <v>7538</v>
      </c>
      <c r="V511" t="s">
        <v>7539</v>
      </c>
      <c r="W511" t="s">
        <v>7540</v>
      </c>
      <c r="X511" t="s">
        <v>7541</v>
      </c>
      <c r="Y511" t="s">
        <v>7542</v>
      </c>
      <c r="Z511" t="s">
        <v>74</v>
      </c>
      <c r="AA511" t="s">
        <v>7543</v>
      </c>
      <c r="AB511" t="s">
        <v>7544</v>
      </c>
      <c r="AC511" t="s">
        <v>74</v>
      </c>
      <c r="AD511" t="s">
        <v>74</v>
      </c>
      <c r="AE511" t="s">
        <v>74</v>
      </c>
      <c r="AF511" t="s">
        <v>74</v>
      </c>
      <c r="AG511">
        <v>16</v>
      </c>
      <c r="AH511">
        <v>18</v>
      </c>
      <c r="AI511">
        <v>20</v>
      </c>
      <c r="AJ511">
        <v>0</v>
      </c>
      <c r="AK511">
        <v>3</v>
      </c>
      <c r="AL511" t="s">
        <v>539</v>
      </c>
      <c r="AM511" t="s">
        <v>540</v>
      </c>
      <c r="AN511" t="s">
        <v>541</v>
      </c>
      <c r="AO511" t="s">
        <v>542</v>
      </c>
      <c r="AP511" t="s">
        <v>74</v>
      </c>
      <c r="AQ511" t="s">
        <v>74</v>
      </c>
      <c r="AR511" t="s">
        <v>544</v>
      </c>
      <c r="AS511" t="s">
        <v>545</v>
      </c>
      <c r="AT511" t="s">
        <v>7545</v>
      </c>
      <c r="AU511">
        <v>2003</v>
      </c>
      <c r="AV511">
        <v>30</v>
      </c>
      <c r="AW511">
        <v>9</v>
      </c>
      <c r="AX511" t="s">
        <v>74</v>
      </c>
      <c r="AY511" t="s">
        <v>74</v>
      </c>
      <c r="AZ511" t="s">
        <v>74</v>
      </c>
      <c r="BA511" t="s">
        <v>74</v>
      </c>
      <c r="BB511" t="s">
        <v>74</v>
      </c>
      <c r="BC511" t="s">
        <v>74</v>
      </c>
      <c r="BD511">
        <v>1458</v>
      </c>
      <c r="BE511" t="s">
        <v>7546</v>
      </c>
      <c r="BF511" t="str">
        <f>HYPERLINK("http://dx.doi.org/10.1029/2003GL016996","http://dx.doi.org/10.1029/2003GL016996")</f>
        <v>http://dx.doi.org/10.1029/2003GL016996</v>
      </c>
      <c r="BG511" t="s">
        <v>74</v>
      </c>
      <c r="BH511" t="s">
        <v>74</v>
      </c>
      <c r="BI511">
        <v>4</v>
      </c>
      <c r="BJ511" t="s">
        <v>548</v>
      </c>
      <c r="BK511" t="s">
        <v>94</v>
      </c>
      <c r="BL511" t="s">
        <v>549</v>
      </c>
      <c r="BM511" t="s">
        <v>7547</v>
      </c>
      <c r="BN511" t="s">
        <v>74</v>
      </c>
      <c r="BO511" t="s">
        <v>96</v>
      </c>
      <c r="BP511" t="s">
        <v>74</v>
      </c>
      <c r="BQ511" t="s">
        <v>74</v>
      </c>
      <c r="BR511" t="s">
        <v>97</v>
      </c>
      <c r="BS511" t="s">
        <v>7548</v>
      </c>
      <c r="BT511" t="str">
        <f>HYPERLINK("https%3A%2F%2Fwww.webofscience.com%2Fwos%2Fwoscc%2Ffull-record%2FWOS:000182858300008","View Full Record in Web of Science")</f>
        <v>View Full Record in Web of Science</v>
      </c>
    </row>
    <row r="512" spans="1:72" x14ac:dyDescent="0.15">
      <c r="A512" t="s">
        <v>72</v>
      </c>
      <c r="B512" t="s">
        <v>7549</v>
      </c>
      <c r="C512" t="s">
        <v>74</v>
      </c>
      <c r="D512" t="s">
        <v>74</v>
      </c>
      <c r="E512" t="s">
        <v>74</v>
      </c>
      <c r="F512" t="s">
        <v>7549</v>
      </c>
      <c r="G512" t="s">
        <v>74</v>
      </c>
      <c r="H512" t="s">
        <v>74</v>
      </c>
      <c r="I512" t="s">
        <v>7550</v>
      </c>
      <c r="J512" t="s">
        <v>665</v>
      </c>
      <c r="K512" t="s">
        <v>74</v>
      </c>
      <c r="L512" t="s">
        <v>74</v>
      </c>
      <c r="M512" t="s">
        <v>77</v>
      </c>
      <c r="N512" t="s">
        <v>78</v>
      </c>
      <c r="O512" t="s">
        <v>74</v>
      </c>
      <c r="P512" t="s">
        <v>74</v>
      </c>
      <c r="Q512" t="s">
        <v>74</v>
      </c>
      <c r="R512" t="s">
        <v>74</v>
      </c>
      <c r="S512" t="s">
        <v>74</v>
      </c>
      <c r="T512" t="s">
        <v>7551</v>
      </c>
      <c r="U512" t="s">
        <v>7552</v>
      </c>
      <c r="V512" t="s">
        <v>7553</v>
      </c>
      <c r="W512" t="s">
        <v>7554</v>
      </c>
      <c r="X512" t="s">
        <v>6826</v>
      </c>
      <c r="Y512" t="s">
        <v>7555</v>
      </c>
      <c r="Z512" t="s">
        <v>7556</v>
      </c>
      <c r="AA512" t="s">
        <v>74</v>
      </c>
      <c r="AB512" t="s">
        <v>74</v>
      </c>
      <c r="AC512" t="s">
        <v>74</v>
      </c>
      <c r="AD512" t="s">
        <v>74</v>
      </c>
      <c r="AE512" t="s">
        <v>74</v>
      </c>
      <c r="AF512" t="s">
        <v>74</v>
      </c>
      <c r="AG512">
        <v>35</v>
      </c>
      <c r="AH512">
        <v>1</v>
      </c>
      <c r="AI512">
        <v>1</v>
      </c>
      <c r="AJ512">
        <v>4</v>
      </c>
      <c r="AK512">
        <v>9</v>
      </c>
      <c r="AL512" t="s">
        <v>539</v>
      </c>
      <c r="AM512" t="s">
        <v>540</v>
      </c>
      <c r="AN512" t="s">
        <v>541</v>
      </c>
      <c r="AO512" t="s">
        <v>672</v>
      </c>
      <c r="AP512" t="s">
        <v>673</v>
      </c>
      <c r="AQ512" t="s">
        <v>74</v>
      </c>
      <c r="AR512" t="s">
        <v>674</v>
      </c>
      <c r="AS512" t="s">
        <v>675</v>
      </c>
      <c r="AT512" t="s">
        <v>7545</v>
      </c>
      <c r="AU512">
        <v>2003</v>
      </c>
      <c r="AV512">
        <v>108</v>
      </c>
      <c r="AW512" t="s">
        <v>7236</v>
      </c>
      <c r="AX512" t="s">
        <v>74</v>
      </c>
      <c r="AY512" t="s">
        <v>74</v>
      </c>
      <c r="AZ512" t="s">
        <v>74</v>
      </c>
      <c r="BA512" t="s">
        <v>74</v>
      </c>
      <c r="BB512" t="s">
        <v>74</v>
      </c>
      <c r="BC512" t="s">
        <v>74</v>
      </c>
      <c r="BD512">
        <v>3137</v>
      </c>
      <c r="BE512" t="s">
        <v>7557</v>
      </c>
      <c r="BF512" t="str">
        <f>HYPERLINK("http://dx.doi.org/10.1029/2002JC001670","http://dx.doi.org/10.1029/2002JC001670")</f>
        <v>http://dx.doi.org/10.1029/2002JC001670</v>
      </c>
      <c r="BG512" t="s">
        <v>74</v>
      </c>
      <c r="BH512" t="s">
        <v>74</v>
      </c>
      <c r="BI512">
        <v>7</v>
      </c>
      <c r="BJ512" t="s">
        <v>678</v>
      </c>
      <c r="BK512" t="s">
        <v>94</v>
      </c>
      <c r="BL512" t="s">
        <v>678</v>
      </c>
      <c r="BM512" t="s">
        <v>7558</v>
      </c>
      <c r="BN512" t="s">
        <v>74</v>
      </c>
      <c r="BO512" t="s">
        <v>74</v>
      </c>
      <c r="BP512" t="s">
        <v>74</v>
      </c>
      <c r="BQ512" t="s">
        <v>74</v>
      </c>
      <c r="BR512" t="s">
        <v>97</v>
      </c>
      <c r="BS512" t="s">
        <v>7559</v>
      </c>
      <c r="BT512" t="str">
        <f>HYPERLINK("https%3A%2F%2Fwww.webofscience.com%2Fwos%2Fwoscc%2Ffull-record%2FWOS:000182862800005","View Full Record in Web of Science")</f>
        <v>View Full Record in Web of Science</v>
      </c>
    </row>
    <row r="513" spans="1:72" x14ac:dyDescent="0.15">
      <c r="A513" t="s">
        <v>72</v>
      </c>
      <c r="B513" t="s">
        <v>7560</v>
      </c>
      <c r="C513" t="s">
        <v>74</v>
      </c>
      <c r="D513" t="s">
        <v>74</v>
      </c>
      <c r="E513" t="s">
        <v>74</v>
      </c>
      <c r="F513" t="s">
        <v>7560</v>
      </c>
      <c r="G513" t="s">
        <v>74</v>
      </c>
      <c r="H513" t="s">
        <v>74</v>
      </c>
      <c r="I513" t="s">
        <v>7561</v>
      </c>
      <c r="J513" t="s">
        <v>7562</v>
      </c>
      <c r="K513" t="s">
        <v>74</v>
      </c>
      <c r="L513" t="s">
        <v>74</v>
      </c>
      <c r="M513" t="s">
        <v>77</v>
      </c>
      <c r="N513" t="s">
        <v>78</v>
      </c>
      <c r="O513" t="s">
        <v>74</v>
      </c>
      <c r="P513" t="s">
        <v>74</v>
      </c>
      <c r="Q513" t="s">
        <v>74</v>
      </c>
      <c r="R513" t="s">
        <v>74</v>
      </c>
      <c r="S513" t="s">
        <v>74</v>
      </c>
      <c r="T513" t="s">
        <v>74</v>
      </c>
      <c r="U513" t="s">
        <v>7563</v>
      </c>
      <c r="V513" t="s">
        <v>7564</v>
      </c>
      <c r="W513" t="s">
        <v>7565</v>
      </c>
      <c r="X513" t="s">
        <v>7566</v>
      </c>
      <c r="Y513" t="s">
        <v>7567</v>
      </c>
      <c r="Z513" t="s">
        <v>7568</v>
      </c>
      <c r="AA513" t="s">
        <v>7569</v>
      </c>
      <c r="AB513" t="s">
        <v>7570</v>
      </c>
      <c r="AC513" t="s">
        <v>74</v>
      </c>
      <c r="AD513" t="s">
        <v>74</v>
      </c>
      <c r="AE513" t="s">
        <v>74</v>
      </c>
      <c r="AF513" t="s">
        <v>74</v>
      </c>
      <c r="AG513">
        <v>96</v>
      </c>
      <c r="AH513">
        <v>30</v>
      </c>
      <c r="AI513">
        <v>35</v>
      </c>
      <c r="AJ513">
        <v>0</v>
      </c>
      <c r="AK513">
        <v>11</v>
      </c>
      <c r="AL513" t="s">
        <v>7571</v>
      </c>
      <c r="AM513" t="s">
        <v>1873</v>
      </c>
      <c r="AN513" t="s">
        <v>7572</v>
      </c>
      <c r="AO513" t="s">
        <v>7573</v>
      </c>
      <c r="AP513" t="s">
        <v>7574</v>
      </c>
      <c r="AQ513" t="s">
        <v>74</v>
      </c>
      <c r="AR513" t="s">
        <v>7575</v>
      </c>
      <c r="AS513" t="s">
        <v>7576</v>
      </c>
      <c r="AT513" t="s">
        <v>7577</v>
      </c>
      <c r="AU513">
        <v>2003</v>
      </c>
      <c r="AV513">
        <v>87</v>
      </c>
      <c r="AW513">
        <v>5</v>
      </c>
      <c r="AX513" t="s">
        <v>74</v>
      </c>
      <c r="AY513" t="s">
        <v>74</v>
      </c>
      <c r="AZ513" t="s">
        <v>74</v>
      </c>
      <c r="BA513" t="s">
        <v>74</v>
      </c>
      <c r="BB513">
        <v>873</v>
      </c>
      <c r="BC513">
        <v>894</v>
      </c>
      <c r="BD513" t="s">
        <v>74</v>
      </c>
      <c r="BE513" t="s">
        <v>7578</v>
      </c>
      <c r="BF513" t="str">
        <f>HYPERLINK("http://dx.doi.org/10.1306/12100201048","http://dx.doi.org/10.1306/12100201048")</f>
        <v>http://dx.doi.org/10.1306/12100201048</v>
      </c>
      <c r="BG513" t="s">
        <v>74</v>
      </c>
      <c r="BH513" t="s">
        <v>74</v>
      </c>
      <c r="BI513">
        <v>22</v>
      </c>
      <c r="BJ513" t="s">
        <v>548</v>
      </c>
      <c r="BK513" t="s">
        <v>94</v>
      </c>
      <c r="BL513" t="s">
        <v>549</v>
      </c>
      <c r="BM513" t="s">
        <v>7579</v>
      </c>
      <c r="BN513" t="s">
        <v>74</v>
      </c>
      <c r="BO513" t="s">
        <v>74</v>
      </c>
      <c r="BP513" t="s">
        <v>74</v>
      </c>
      <c r="BQ513" t="s">
        <v>74</v>
      </c>
      <c r="BR513" t="s">
        <v>97</v>
      </c>
      <c r="BS513" t="s">
        <v>7580</v>
      </c>
      <c r="BT513" t="str">
        <f>HYPERLINK("https%3A%2F%2Fwww.webofscience.com%2Fwos%2Fwoscc%2Ffull-record%2FWOS:000182773700008","View Full Record in Web of Science")</f>
        <v>View Full Record in Web of Science</v>
      </c>
    </row>
    <row r="514" spans="1:72" x14ac:dyDescent="0.15">
      <c r="A514" t="s">
        <v>72</v>
      </c>
      <c r="B514" t="s">
        <v>7581</v>
      </c>
      <c r="C514" t="s">
        <v>74</v>
      </c>
      <c r="D514" t="s">
        <v>74</v>
      </c>
      <c r="E514" t="s">
        <v>74</v>
      </c>
      <c r="F514" t="s">
        <v>7581</v>
      </c>
      <c r="G514" t="s">
        <v>74</v>
      </c>
      <c r="H514" t="s">
        <v>74</v>
      </c>
      <c r="I514" t="s">
        <v>7582</v>
      </c>
      <c r="J514" t="s">
        <v>3082</v>
      </c>
      <c r="K514" t="s">
        <v>74</v>
      </c>
      <c r="L514" t="s">
        <v>74</v>
      </c>
      <c r="M514" t="s">
        <v>77</v>
      </c>
      <c r="N514" t="s">
        <v>159</v>
      </c>
      <c r="O514" t="s">
        <v>7583</v>
      </c>
      <c r="P514" t="s">
        <v>7584</v>
      </c>
      <c r="Q514" t="s">
        <v>7585</v>
      </c>
      <c r="R514" t="s">
        <v>74</v>
      </c>
      <c r="S514" t="s">
        <v>74</v>
      </c>
      <c r="T514" t="s">
        <v>74</v>
      </c>
      <c r="U514" t="s">
        <v>74</v>
      </c>
      <c r="V514" t="s">
        <v>7586</v>
      </c>
      <c r="W514" t="s">
        <v>7587</v>
      </c>
      <c r="X514" t="s">
        <v>7588</v>
      </c>
      <c r="Y514" t="s">
        <v>7589</v>
      </c>
      <c r="Z514" t="s">
        <v>74</v>
      </c>
      <c r="AA514" t="s">
        <v>7590</v>
      </c>
      <c r="AB514" t="s">
        <v>7591</v>
      </c>
      <c r="AC514" t="s">
        <v>74</v>
      </c>
      <c r="AD514" t="s">
        <v>74</v>
      </c>
      <c r="AE514" t="s">
        <v>74</v>
      </c>
      <c r="AF514" t="s">
        <v>74</v>
      </c>
      <c r="AG514">
        <v>9</v>
      </c>
      <c r="AH514">
        <v>1</v>
      </c>
      <c r="AI514">
        <v>1</v>
      </c>
      <c r="AJ514">
        <v>0</v>
      </c>
      <c r="AK514">
        <v>1</v>
      </c>
      <c r="AL514" t="s">
        <v>169</v>
      </c>
      <c r="AM514" t="s">
        <v>170</v>
      </c>
      <c r="AN514" t="s">
        <v>171</v>
      </c>
      <c r="AO514" t="s">
        <v>3092</v>
      </c>
      <c r="AP514" t="s">
        <v>74</v>
      </c>
      <c r="AQ514" t="s">
        <v>74</v>
      </c>
      <c r="AR514" t="s">
        <v>3094</v>
      </c>
      <c r="AS514" t="s">
        <v>3095</v>
      </c>
      <c r="AT514" t="s">
        <v>7592</v>
      </c>
      <c r="AU514">
        <v>2003</v>
      </c>
      <c r="AV514">
        <v>52</v>
      </c>
      <c r="AW514" t="s">
        <v>7593</v>
      </c>
      <c r="AX514" t="s">
        <v>74</v>
      </c>
      <c r="AY514" t="s">
        <v>74</v>
      </c>
      <c r="AZ514" t="s">
        <v>74</v>
      </c>
      <c r="BA514" t="s">
        <v>74</v>
      </c>
      <c r="BB514">
        <v>915</v>
      </c>
      <c r="BC514">
        <v>922</v>
      </c>
      <c r="BD514" t="s">
        <v>74</v>
      </c>
      <c r="BE514" t="s">
        <v>7594</v>
      </c>
      <c r="BF514" t="str">
        <f>HYPERLINK("http://dx.doi.org/10.1016/S0094-5765(03)00072-9","http://dx.doi.org/10.1016/S0094-5765(03)00072-9")</f>
        <v>http://dx.doi.org/10.1016/S0094-5765(03)00072-9</v>
      </c>
      <c r="BG514" t="s">
        <v>74</v>
      </c>
      <c r="BH514" t="s">
        <v>74</v>
      </c>
      <c r="BI514">
        <v>8</v>
      </c>
      <c r="BJ514" t="s">
        <v>3099</v>
      </c>
      <c r="BK514" t="s">
        <v>854</v>
      </c>
      <c r="BL514" t="s">
        <v>505</v>
      </c>
      <c r="BM514" t="s">
        <v>7595</v>
      </c>
      <c r="BN514" t="s">
        <v>74</v>
      </c>
      <c r="BO514" t="s">
        <v>74</v>
      </c>
      <c r="BP514" t="s">
        <v>74</v>
      </c>
      <c r="BQ514" t="s">
        <v>74</v>
      </c>
      <c r="BR514" t="s">
        <v>97</v>
      </c>
      <c r="BS514" t="s">
        <v>7596</v>
      </c>
      <c r="BT514" t="str">
        <f>HYPERLINK("https%3A%2F%2Fwww.webofscience.com%2Fwos%2Fwoscc%2Ffull-record%2FWOS:000182858000033","View Full Record in Web of Science")</f>
        <v>View Full Record in Web of Science</v>
      </c>
    </row>
    <row r="515" spans="1:72" x14ac:dyDescent="0.15">
      <c r="A515" t="s">
        <v>72</v>
      </c>
      <c r="B515" t="s">
        <v>7597</v>
      </c>
      <c r="C515" t="s">
        <v>74</v>
      </c>
      <c r="D515" t="s">
        <v>74</v>
      </c>
      <c r="E515" t="s">
        <v>74</v>
      </c>
      <c r="F515" t="s">
        <v>7597</v>
      </c>
      <c r="G515" t="s">
        <v>74</v>
      </c>
      <c r="H515" t="s">
        <v>74</v>
      </c>
      <c r="I515" t="s">
        <v>7598</v>
      </c>
      <c r="J515" t="s">
        <v>7599</v>
      </c>
      <c r="K515" t="s">
        <v>74</v>
      </c>
      <c r="L515" t="s">
        <v>74</v>
      </c>
      <c r="M515" t="s">
        <v>77</v>
      </c>
      <c r="N515" t="s">
        <v>78</v>
      </c>
      <c r="O515" t="s">
        <v>74</v>
      </c>
      <c r="P515" t="s">
        <v>74</v>
      </c>
      <c r="Q515" t="s">
        <v>74</v>
      </c>
      <c r="R515" t="s">
        <v>74</v>
      </c>
      <c r="S515" t="s">
        <v>74</v>
      </c>
      <c r="T515" t="s">
        <v>7600</v>
      </c>
      <c r="U515" t="s">
        <v>7601</v>
      </c>
      <c r="V515" t="s">
        <v>7602</v>
      </c>
      <c r="W515" t="s">
        <v>7603</v>
      </c>
      <c r="X515" t="s">
        <v>7604</v>
      </c>
      <c r="Y515" t="s">
        <v>7605</v>
      </c>
      <c r="Z515" t="s">
        <v>74</v>
      </c>
      <c r="AA515" t="s">
        <v>74</v>
      </c>
      <c r="AB515" t="s">
        <v>7606</v>
      </c>
      <c r="AC515" t="s">
        <v>74</v>
      </c>
      <c r="AD515" t="s">
        <v>74</v>
      </c>
      <c r="AE515" t="s">
        <v>74</v>
      </c>
      <c r="AF515" t="s">
        <v>74</v>
      </c>
      <c r="AG515">
        <v>41</v>
      </c>
      <c r="AH515">
        <v>28</v>
      </c>
      <c r="AI515">
        <v>32</v>
      </c>
      <c r="AJ515">
        <v>0</v>
      </c>
      <c r="AK515">
        <v>1</v>
      </c>
      <c r="AL515" t="s">
        <v>7607</v>
      </c>
      <c r="AM515" t="s">
        <v>2702</v>
      </c>
      <c r="AN515" t="s">
        <v>7608</v>
      </c>
      <c r="AO515" t="s">
        <v>7609</v>
      </c>
      <c r="AP515" t="s">
        <v>74</v>
      </c>
      <c r="AQ515" t="s">
        <v>74</v>
      </c>
      <c r="AR515" t="s">
        <v>7610</v>
      </c>
      <c r="AS515" t="s">
        <v>7611</v>
      </c>
      <c r="AT515" t="s">
        <v>7577</v>
      </c>
      <c r="AU515">
        <v>2003</v>
      </c>
      <c r="AV515">
        <v>284</v>
      </c>
      <c r="AW515">
        <v>5</v>
      </c>
      <c r="AX515" t="s">
        <v>74</v>
      </c>
      <c r="AY515" t="s">
        <v>74</v>
      </c>
      <c r="AZ515" t="s">
        <v>74</v>
      </c>
      <c r="BA515" t="s">
        <v>74</v>
      </c>
      <c r="BB515" t="s">
        <v>7612</v>
      </c>
      <c r="BC515" t="s">
        <v>7613</v>
      </c>
      <c r="BD515" t="s">
        <v>74</v>
      </c>
      <c r="BE515" t="s">
        <v>7614</v>
      </c>
      <c r="BF515" t="str">
        <f>HYPERLINK("http://dx.doi.org/10.1152/ajpcell.00339.2002","http://dx.doi.org/10.1152/ajpcell.00339.2002")</f>
        <v>http://dx.doi.org/10.1152/ajpcell.00339.2002</v>
      </c>
      <c r="BG515" t="s">
        <v>74</v>
      </c>
      <c r="BH515" t="s">
        <v>74</v>
      </c>
      <c r="BI515">
        <v>9</v>
      </c>
      <c r="BJ515" t="s">
        <v>7615</v>
      </c>
      <c r="BK515" t="s">
        <v>94</v>
      </c>
      <c r="BL515" t="s">
        <v>7615</v>
      </c>
      <c r="BM515" t="s">
        <v>7616</v>
      </c>
      <c r="BN515">
        <v>12519747</v>
      </c>
      <c r="BO515" t="s">
        <v>74</v>
      </c>
      <c r="BP515" t="s">
        <v>74</v>
      </c>
      <c r="BQ515" t="s">
        <v>74</v>
      </c>
      <c r="BR515" t="s">
        <v>97</v>
      </c>
      <c r="BS515" t="s">
        <v>7617</v>
      </c>
      <c r="BT515" t="str">
        <f>HYPERLINK("https%3A%2F%2Fwww.webofscience.com%2Fwos%2Fwoscc%2Ffull-record%2FWOS:000181982400010","View Full Record in Web of Science")</f>
        <v>View Full Record in Web of Science</v>
      </c>
    </row>
    <row r="516" spans="1:72" x14ac:dyDescent="0.15">
      <c r="A516" t="s">
        <v>72</v>
      </c>
      <c r="B516" t="s">
        <v>7618</v>
      </c>
      <c r="C516" t="s">
        <v>74</v>
      </c>
      <c r="D516" t="s">
        <v>74</v>
      </c>
      <c r="E516" t="s">
        <v>74</v>
      </c>
      <c r="F516" t="s">
        <v>7618</v>
      </c>
      <c r="G516" t="s">
        <v>74</v>
      </c>
      <c r="H516" t="s">
        <v>74</v>
      </c>
      <c r="I516" t="s">
        <v>7619</v>
      </c>
      <c r="J516" t="s">
        <v>7620</v>
      </c>
      <c r="K516" t="s">
        <v>74</v>
      </c>
      <c r="L516" t="s">
        <v>74</v>
      </c>
      <c r="M516" t="s">
        <v>77</v>
      </c>
      <c r="N516" t="s">
        <v>78</v>
      </c>
      <c r="O516" t="s">
        <v>74</v>
      </c>
      <c r="P516" t="s">
        <v>74</v>
      </c>
      <c r="Q516" t="s">
        <v>74</v>
      </c>
      <c r="R516" t="s">
        <v>74</v>
      </c>
      <c r="S516" t="s">
        <v>74</v>
      </c>
      <c r="T516" t="s">
        <v>7621</v>
      </c>
      <c r="U516" t="s">
        <v>7622</v>
      </c>
      <c r="V516" t="s">
        <v>7623</v>
      </c>
      <c r="W516" t="s">
        <v>7624</v>
      </c>
      <c r="X516" t="s">
        <v>7625</v>
      </c>
      <c r="Y516" t="s">
        <v>7626</v>
      </c>
      <c r="Z516" t="s">
        <v>7627</v>
      </c>
      <c r="AA516" t="s">
        <v>74</v>
      </c>
      <c r="AB516" t="s">
        <v>74</v>
      </c>
      <c r="AC516" t="s">
        <v>74</v>
      </c>
      <c r="AD516" t="s">
        <v>74</v>
      </c>
      <c r="AE516" t="s">
        <v>74</v>
      </c>
      <c r="AF516" t="s">
        <v>74</v>
      </c>
      <c r="AG516">
        <v>25</v>
      </c>
      <c r="AH516">
        <v>14</v>
      </c>
      <c r="AI516">
        <v>16</v>
      </c>
      <c r="AJ516">
        <v>1</v>
      </c>
      <c r="AK516">
        <v>12</v>
      </c>
      <c r="AL516" t="s">
        <v>2185</v>
      </c>
      <c r="AM516" t="s">
        <v>2186</v>
      </c>
      <c r="AN516" t="s">
        <v>2187</v>
      </c>
      <c r="AO516" t="s">
        <v>7628</v>
      </c>
      <c r="AP516" t="s">
        <v>7629</v>
      </c>
      <c r="AQ516" t="s">
        <v>74</v>
      </c>
      <c r="AR516" t="s">
        <v>7630</v>
      </c>
      <c r="AS516" t="s">
        <v>7631</v>
      </c>
      <c r="AT516" t="s">
        <v>7577</v>
      </c>
      <c r="AU516">
        <v>2003</v>
      </c>
      <c r="AV516">
        <v>376</v>
      </c>
      <c r="AW516">
        <v>1</v>
      </c>
      <c r="AX516" t="s">
        <v>74</v>
      </c>
      <c r="AY516" t="s">
        <v>74</v>
      </c>
      <c r="AZ516" t="s">
        <v>74</v>
      </c>
      <c r="BA516" t="s">
        <v>74</v>
      </c>
      <c r="BB516">
        <v>61</v>
      </c>
      <c r="BC516">
        <v>68</v>
      </c>
      <c r="BD516" t="s">
        <v>74</v>
      </c>
      <c r="BE516" t="s">
        <v>7632</v>
      </c>
      <c r="BF516" t="str">
        <f>HYPERLINK("http://dx.doi.org/10.1007/s00216-003-1855-8","http://dx.doi.org/10.1007/s00216-003-1855-8")</f>
        <v>http://dx.doi.org/10.1007/s00216-003-1855-8</v>
      </c>
      <c r="BG516" t="s">
        <v>74</v>
      </c>
      <c r="BH516" t="s">
        <v>74</v>
      </c>
      <c r="BI516">
        <v>8</v>
      </c>
      <c r="BJ516" t="s">
        <v>7633</v>
      </c>
      <c r="BK516" t="s">
        <v>94</v>
      </c>
      <c r="BL516" t="s">
        <v>2095</v>
      </c>
      <c r="BM516" t="s">
        <v>7634</v>
      </c>
      <c r="BN516">
        <v>12669173</v>
      </c>
      <c r="BO516" t="s">
        <v>74</v>
      </c>
      <c r="BP516" t="s">
        <v>74</v>
      </c>
      <c r="BQ516" t="s">
        <v>74</v>
      </c>
      <c r="BR516" t="s">
        <v>97</v>
      </c>
      <c r="BS516" t="s">
        <v>7635</v>
      </c>
      <c r="BT516" t="str">
        <f>HYPERLINK("https%3A%2F%2Fwww.webofscience.com%2Fwos%2Fwoscc%2Ffull-record%2FWOS:000183246700011","View Full Record in Web of Science")</f>
        <v>View Full Record in Web of Science</v>
      </c>
    </row>
    <row r="517" spans="1:72" x14ac:dyDescent="0.15">
      <c r="A517" t="s">
        <v>72</v>
      </c>
      <c r="B517" t="s">
        <v>7636</v>
      </c>
      <c r="C517" t="s">
        <v>74</v>
      </c>
      <c r="D517" t="s">
        <v>74</v>
      </c>
      <c r="E517" t="s">
        <v>74</v>
      </c>
      <c r="F517" t="s">
        <v>7636</v>
      </c>
      <c r="G517" t="s">
        <v>74</v>
      </c>
      <c r="H517" t="s">
        <v>74</v>
      </c>
      <c r="I517" t="s">
        <v>7637</v>
      </c>
      <c r="J517" t="s">
        <v>3105</v>
      </c>
      <c r="K517" t="s">
        <v>74</v>
      </c>
      <c r="L517" t="s">
        <v>74</v>
      </c>
      <c r="M517" t="s">
        <v>77</v>
      </c>
      <c r="N517" t="s">
        <v>78</v>
      </c>
      <c r="O517" t="s">
        <v>74</v>
      </c>
      <c r="P517" t="s">
        <v>74</v>
      </c>
      <c r="Q517" t="s">
        <v>74</v>
      </c>
      <c r="R517" t="s">
        <v>74</v>
      </c>
      <c r="S517" t="s">
        <v>74</v>
      </c>
      <c r="T517" t="s">
        <v>7638</v>
      </c>
      <c r="U517" t="s">
        <v>7639</v>
      </c>
      <c r="V517" t="s">
        <v>7640</v>
      </c>
      <c r="W517" t="s">
        <v>3132</v>
      </c>
      <c r="X517" t="s">
        <v>706</v>
      </c>
      <c r="Y517" t="s">
        <v>7641</v>
      </c>
      <c r="Z517" t="s">
        <v>7642</v>
      </c>
      <c r="AA517" t="s">
        <v>74</v>
      </c>
      <c r="AB517" t="s">
        <v>74</v>
      </c>
      <c r="AC517" t="s">
        <v>74</v>
      </c>
      <c r="AD517" t="s">
        <v>74</v>
      </c>
      <c r="AE517" t="s">
        <v>74</v>
      </c>
      <c r="AF517" t="s">
        <v>74</v>
      </c>
      <c r="AG517">
        <v>16</v>
      </c>
      <c r="AH517">
        <v>2</v>
      </c>
      <c r="AI517">
        <v>2</v>
      </c>
      <c r="AJ517">
        <v>0</v>
      </c>
      <c r="AK517">
        <v>4</v>
      </c>
      <c r="AL517" t="s">
        <v>3115</v>
      </c>
      <c r="AM517" t="s">
        <v>3116</v>
      </c>
      <c r="AN517" t="s">
        <v>3117</v>
      </c>
      <c r="AO517" t="s">
        <v>3118</v>
      </c>
      <c r="AP517" t="s">
        <v>74</v>
      </c>
      <c r="AQ517" t="s">
        <v>74</v>
      </c>
      <c r="AR517" t="s">
        <v>3119</v>
      </c>
      <c r="AS517" t="s">
        <v>3120</v>
      </c>
      <c r="AT517" t="s">
        <v>7577</v>
      </c>
      <c r="AU517">
        <v>2003</v>
      </c>
      <c r="AV517">
        <v>21</v>
      </c>
      <c r="AW517">
        <v>5</v>
      </c>
      <c r="AX517" t="s">
        <v>74</v>
      </c>
      <c r="AY517" t="s">
        <v>74</v>
      </c>
      <c r="AZ517" t="s">
        <v>74</v>
      </c>
      <c r="BA517" t="s">
        <v>74</v>
      </c>
      <c r="BB517">
        <v>1095</v>
      </c>
      <c r="BC517">
        <v>1100</v>
      </c>
      <c r="BD517" t="s">
        <v>74</v>
      </c>
      <c r="BE517" t="s">
        <v>7643</v>
      </c>
      <c r="BF517" t="str">
        <f>HYPERLINK("http://dx.doi.org/10.5194/angeo-21-1095-2003","http://dx.doi.org/10.5194/angeo-21-1095-2003")</f>
        <v>http://dx.doi.org/10.5194/angeo-21-1095-2003</v>
      </c>
      <c r="BG517" t="s">
        <v>74</v>
      </c>
      <c r="BH517" t="s">
        <v>74</v>
      </c>
      <c r="BI517">
        <v>6</v>
      </c>
      <c r="BJ517" t="s">
        <v>3123</v>
      </c>
      <c r="BK517" t="s">
        <v>94</v>
      </c>
      <c r="BL517" t="s">
        <v>3124</v>
      </c>
      <c r="BM517" t="s">
        <v>7644</v>
      </c>
      <c r="BN517" t="s">
        <v>74</v>
      </c>
      <c r="BO517" t="s">
        <v>7645</v>
      </c>
      <c r="BP517" t="s">
        <v>74</v>
      </c>
      <c r="BQ517" t="s">
        <v>74</v>
      </c>
      <c r="BR517" t="s">
        <v>97</v>
      </c>
      <c r="BS517" t="s">
        <v>7646</v>
      </c>
      <c r="BT517" t="str">
        <f>HYPERLINK("https%3A%2F%2Fwww.webofscience.com%2Fwos%2Fwoscc%2Ffull-record%2FWOS:000189046500003","View Full Record in Web of Science")</f>
        <v>View Full Record in Web of Science</v>
      </c>
    </row>
    <row r="518" spans="1:72" x14ac:dyDescent="0.15">
      <c r="A518" t="s">
        <v>72</v>
      </c>
      <c r="B518" t="s">
        <v>7647</v>
      </c>
      <c r="C518" t="s">
        <v>74</v>
      </c>
      <c r="D518" t="s">
        <v>74</v>
      </c>
      <c r="E518" t="s">
        <v>74</v>
      </c>
      <c r="F518" t="s">
        <v>7647</v>
      </c>
      <c r="G518" t="s">
        <v>74</v>
      </c>
      <c r="H518" t="s">
        <v>74</v>
      </c>
      <c r="I518" t="s">
        <v>7648</v>
      </c>
      <c r="J518" t="s">
        <v>3105</v>
      </c>
      <c r="K518" t="s">
        <v>74</v>
      </c>
      <c r="L518" t="s">
        <v>74</v>
      </c>
      <c r="M518" t="s">
        <v>77</v>
      </c>
      <c r="N518" t="s">
        <v>78</v>
      </c>
      <c r="O518" t="s">
        <v>74</v>
      </c>
      <c r="P518" t="s">
        <v>74</v>
      </c>
      <c r="Q518" t="s">
        <v>74</v>
      </c>
      <c r="R518" t="s">
        <v>74</v>
      </c>
      <c r="S518" t="s">
        <v>74</v>
      </c>
      <c r="T518" t="s">
        <v>7649</v>
      </c>
      <c r="U518" t="s">
        <v>7650</v>
      </c>
      <c r="V518" t="s">
        <v>7651</v>
      </c>
      <c r="W518" t="s">
        <v>7652</v>
      </c>
      <c r="X518" t="s">
        <v>7653</v>
      </c>
      <c r="Y518" t="s">
        <v>7654</v>
      </c>
      <c r="Z518" t="s">
        <v>7655</v>
      </c>
      <c r="AA518" t="s">
        <v>74</v>
      </c>
      <c r="AB518" t="s">
        <v>74</v>
      </c>
      <c r="AC518" t="s">
        <v>74</v>
      </c>
      <c r="AD518" t="s">
        <v>74</v>
      </c>
      <c r="AE518" t="s">
        <v>74</v>
      </c>
      <c r="AF518" t="s">
        <v>74</v>
      </c>
      <c r="AG518">
        <v>13</v>
      </c>
      <c r="AH518">
        <v>20</v>
      </c>
      <c r="AI518">
        <v>21</v>
      </c>
      <c r="AJ518">
        <v>0</v>
      </c>
      <c r="AK518">
        <v>1</v>
      </c>
      <c r="AL518" t="s">
        <v>3115</v>
      </c>
      <c r="AM518" t="s">
        <v>3116</v>
      </c>
      <c r="AN518" t="s">
        <v>3117</v>
      </c>
      <c r="AO518" t="s">
        <v>3118</v>
      </c>
      <c r="AP518" t="s">
        <v>74</v>
      </c>
      <c r="AQ518" t="s">
        <v>74</v>
      </c>
      <c r="AR518" t="s">
        <v>3119</v>
      </c>
      <c r="AS518" t="s">
        <v>3120</v>
      </c>
      <c r="AT518" t="s">
        <v>7577</v>
      </c>
      <c r="AU518">
        <v>2003</v>
      </c>
      <c r="AV518">
        <v>21</v>
      </c>
      <c r="AW518">
        <v>5</v>
      </c>
      <c r="AX518" t="s">
        <v>74</v>
      </c>
      <c r="AY518" t="s">
        <v>74</v>
      </c>
      <c r="AZ518" t="s">
        <v>74</v>
      </c>
      <c r="BA518" t="s">
        <v>74</v>
      </c>
      <c r="BB518">
        <v>1141</v>
      </c>
      <c r="BC518">
        <v>1151</v>
      </c>
      <c r="BD518" t="s">
        <v>74</v>
      </c>
      <c r="BE518" t="s">
        <v>7656</v>
      </c>
      <c r="BF518" t="str">
        <f>HYPERLINK("http://dx.doi.org/10.5194/angeo-21-1141-2003","http://dx.doi.org/10.5194/angeo-21-1141-2003")</f>
        <v>http://dx.doi.org/10.5194/angeo-21-1141-2003</v>
      </c>
      <c r="BG518" t="s">
        <v>74</v>
      </c>
      <c r="BH518" t="s">
        <v>74</v>
      </c>
      <c r="BI518">
        <v>11</v>
      </c>
      <c r="BJ518" t="s">
        <v>3123</v>
      </c>
      <c r="BK518" t="s">
        <v>94</v>
      </c>
      <c r="BL518" t="s">
        <v>3124</v>
      </c>
      <c r="BM518" t="s">
        <v>7644</v>
      </c>
      <c r="BN518" t="s">
        <v>74</v>
      </c>
      <c r="BO518" t="s">
        <v>3126</v>
      </c>
      <c r="BP518" t="s">
        <v>74</v>
      </c>
      <c r="BQ518" t="s">
        <v>74</v>
      </c>
      <c r="BR518" t="s">
        <v>97</v>
      </c>
      <c r="BS518" t="s">
        <v>7657</v>
      </c>
      <c r="BT518" t="str">
        <f>HYPERLINK("https%3A%2F%2Fwww.webofscience.com%2Fwos%2Fwoscc%2Ffull-record%2FWOS:000189046500007","View Full Record in Web of Science")</f>
        <v>View Full Record in Web of Science</v>
      </c>
    </row>
    <row r="519" spans="1:72" x14ac:dyDescent="0.15">
      <c r="A519" t="s">
        <v>72</v>
      </c>
      <c r="B519" t="s">
        <v>7658</v>
      </c>
      <c r="C519" t="s">
        <v>74</v>
      </c>
      <c r="D519" t="s">
        <v>74</v>
      </c>
      <c r="E519" t="s">
        <v>74</v>
      </c>
      <c r="F519" t="s">
        <v>7658</v>
      </c>
      <c r="G519" t="s">
        <v>74</v>
      </c>
      <c r="H519" t="s">
        <v>74</v>
      </c>
      <c r="I519" t="s">
        <v>7659</v>
      </c>
      <c r="J519" t="s">
        <v>1254</v>
      </c>
      <c r="K519" t="s">
        <v>74</v>
      </c>
      <c r="L519" t="s">
        <v>74</v>
      </c>
      <c r="M519" t="s">
        <v>77</v>
      </c>
      <c r="N519" t="s">
        <v>78</v>
      </c>
      <c r="O519" t="s">
        <v>74</v>
      </c>
      <c r="P519" t="s">
        <v>74</v>
      </c>
      <c r="Q519" t="s">
        <v>74</v>
      </c>
      <c r="R519" t="s">
        <v>74</v>
      </c>
      <c r="S519" t="s">
        <v>74</v>
      </c>
      <c r="T519" t="s">
        <v>74</v>
      </c>
      <c r="U519" t="s">
        <v>7660</v>
      </c>
      <c r="V519" t="s">
        <v>7661</v>
      </c>
      <c r="W519" t="s">
        <v>7662</v>
      </c>
      <c r="X519" t="s">
        <v>1935</v>
      </c>
      <c r="Y519" t="s">
        <v>7663</v>
      </c>
      <c r="Z519" t="s">
        <v>7664</v>
      </c>
      <c r="AA519" t="s">
        <v>7665</v>
      </c>
      <c r="AB519" t="s">
        <v>7666</v>
      </c>
      <c r="AC519" t="s">
        <v>74</v>
      </c>
      <c r="AD519" t="s">
        <v>74</v>
      </c>
      <c r="AE519" t="s">
        <v>74</v>
      </c>
      <c r="AF519" t="s">
        <v>74</v>
      </c>
      <c r="AG519">
        <v>69</v>
      </c>
      <c r="AH519">
        <v>108</v>
      </c>
      <c r="AI519">
        <v>123</v>
      </c>
      <c r="AJ519">
        <v>2</v>
      </c>
      <c r="AK519">
        <v>34</v>
      </c>
      <c r="AL519" t="s">
        <v>1263</v>
      </c>
      <c r="AM519" t="s">
        <v>540</v>
      </c>
      <c r="AN519" t="s">
        <v>1264</v>
      </c>
      <c r="AO519" t="s">
        <v>1265</v>
      </c>
      <c r="AP519" t="s">
        <v>1266</v>
      </c>
      <c r="AQ519" t="s">
        <v>74</v>
      </c>
      <c r="AR519" t="s">
        <v>1267</v>
      </c>
      <c r="AS519" t="s">
        <v>1268</v>
      </c>
      <c r="AT519" t="s">
        <v>7577</v>
      </c>
      <c r="AU519">
        <v>2003</v>
      </c>
      <c r="AV519">
        <v>69</v>
      </c>
      <c r="AW519">
        <v>5</v>
      </c>
      <c r="AX519" t="s">
        <v>74</v>
      </c>
      <c r="AY519" t="s">
        <v>74</v>
      </c>
      <c r="AZ519" t="s">
        <v>74</v>
      </c>
      <c r="BA519" t="s">
        <v>74</v>
      </c>
      <c r="BB519">
        <v>2448</v>
      </c>
      <c r="BC519">
        <v>2462</v>
      </c>
      <c r="BD519" t="s">
        <v>74</v>
      </c>
      <c r="BE519" t="s">
        <v>7667</v>
      </c>
      <c r="BF519" t="str">
        <f>HYPERLINK("http://dx.doi.org/10.1128/AEM.69.5.2448-2462.2003","http://dx.doi.org/10.1128/AEM.69.5.2448-2462.2003")</f>
        <v>http://dx.doi.org/10.1128/AEM.69.5.2448-2462.2003</v>
      </c>
      <c r="BG519" t="s">
        <v>74</v>
      </c>
      <c r="BH519" t="s">
        <v>74</v>
      </c>
      <c r="BI519">
        <v>15</v>
      </c>
      <c r="BJ519" t="s">
        <v>1270</v>
      </c>
      <c r="BK519" t="s">
        <v>94</v>
      </c>
      <c r="BL519" t="s">
        <v>1270</v>
      </c>
      <c r="BM519" t="s">
        <v>7668</v>
      </c>
      <c r="BN519">
        <v>12732510</v>
      </c>
      <c r="BO519" t="s">
        <v>3641</v>
      </c>
      <c r="BP519" t="s">
        <v>74</v>
      </c>
      <c r="BQ519" t="s">
        <v>74</v>
      </c>
      <c r="BR519" t="s">
        <v>97</v>
      </c>
      <c r="BS519" t="s">
        <v>7669</v>
      </c>
      <c r="BT519" t="str">
        <f>HYPERLINK("https%3A%2F%2Fwww.webofscience.com%2Fwos%2Fwoscc%2Ffull-record%2FWOS:000182808300005","View Full Record in Web of Science")</f>
        <v>View Full Record in Web of Science</v>
      </c>
    </row>
    <row r="520" spans="1:72" x14ac:dyDescent="0.15">
      <c r="A520" t="s">
        <v>72</v>
      </c>
      <c r="B520" t="s">
        <v>7670</v>
      </c>
      <c r="C520" t="s">
        <v>74</v>
      </c>
      <c r="D520" t="s">
        <v>74</v>
      </c>
      <c r="E520" t="s">
        <v>74</v>
      </c>
      <c r="F520" t="s">
        <v>7670</v>
      </c>
      <c r="G520" t="s">
        <v>74</v>
      </c>
      <c r="H520" t="s">
        <v>74</v>
      </c>
      <c r="I520" t="s">
        <v>7671</v>
      </c>
      <c r="J520" t="s">
        <v>1254</v>
      </c>
      <c r="K520" t="s">
        <v>74</v>
      </c>
      <c r="L520" t="s">
        <v>74</v>
      </c>
      <c r="M520" t="s">
        <v>77</v>
      </c>
      <c r="N520" t="s">
        <v>78</v>
      </c>
      <c r="O520" t="s">
        <v>74</v>
      </c>
      <c r="P520" t="s">
        <v>74</v>
      </c>
      <c r="Q520" t="s">
        <v>74</v>
      </c>
      <c r="R520" t="s">
        <v>74</v>
      </c>
      <c r="S520" t="s">
        <v>74</v>
      </c>
      <c r="T520" t="s">
        <v>74</v>
      </c>
      <c r="U520" t="s">
        <v>7672</v>
      </c>
      <c r="V520" t="s">
        <v>7673</v>
      </c>
      <c r="W520" t="s">
        <v>7674</v>
      </c>
      <c r="X520" t="s">
        <v>3733</v>
      </c>
      <c r="Y520" t="s">
        <v>7663</v>
      </c>
      <c r="Z520" t="s">
        <v>7664</v>
      </c>
      <c r="AA520" t="s">
        <v>7675</v>
      </c>
      <c r="AB520" t="s">
        <v>7676</v>
      </c>
      <c r="AC520" t="s">
        <v>74</v>
      </c>
      <c r="AD520" t="s">
        <v>74</v>
      </c>
      <c r="AE520" t="s">
        <v>74</v>
      </c>
      <c r="AF520" t="s">
        <v>74</v>
      </c>
      <c r="AG520">
        <v>62</v>
      </c>
      <c r="AH520">
        <v>260</v>
      </c>
      <c r="AI520">
        <v>312</v>
      </c>
      <c r="AJ520">
        <v>1</v>
      </c>
      <c r="AK520">
        <v>51</v>
      </c>
      <c r="AL520" t="s">
        <v>1263</v>
      </c>
      <c r="AM520" t="s">
        <v>540</v>
      </c>
      <c r="AN520" t="s">
        <v>1264</v>
      </c>
      <c r="AO520" t="s">
        <v>1265</v>
      </c>
      <c r="AP520" t="s">
        <v>1266</v>
      </c>
      <c r="AQ520" t="s">
        <v>74</v>
      </c>
      <c r="AR520" t="s">
        <v>1267</v>
      </c>
      <c r="AS520" t="s">
        <v>1268</v>
      </c>
      <c r="AT520" t="s">
        <v>7577</v>
      </c>
      <c r="AU520">
        <v>2003</v>
      </c>
      <c r="AV520">
        <v>69</v>
      </c>
      <c r="AW520">
        <v>5</v>
      </c>
      <c r="AX520" t="s">
        <v>74</v>
      </c>
      <c r="AY520" t="s">
        <v>74</v>
      </c>
      <c r="AZ520" t="s">
        <v>74</v>
      </c>
      <c r="BA520" t="s">
        <v>74</v>
      </c>
      <c r="BB520">
        <v>2463</v>
      </c>
      <c r="BC520">
        <v>2483</v>
      </c>
      <c r="BD520" t="s">
        <v>74</v>
      </c>
      <c r="BE520" t="s">
        <v>7677</v>
      </c>
      <c r="BF520" t="str">
        <f>HYPERLINK("http://dx.doi.org/10.1128/AEM.69.5.2463-2483.2003","http://dx.doi.org/10.1128/AEM.69.5.2463-2483.2003")</f>
        <v>http://dx.doi.org/10.1128/AEM.69.5.2463-2483.2003</v>
      </c>
      <c r="BG520" t="s">
        <v>74</v>
      </c>
      <c r="BH520" t="s">
        <v>74</v>
      </c>
      <c r="BI520">
        <v>21</v>
      </c>
      <c r="BJ520" t="s">
        <v>1270</v>
      </c>
      <c r="BK520" t="s">
        <v>94</v>
      </c>
      <c r="BL520" t="s">
        <v>1270</v>
      </c>
      <c r="BM520" t="s">
        <v>7668</v>
      </c>
      <c r="BN520">
        <v>12732511</v>
      </c>
      <c r="BO520" t="s">
        <v>154</v>
      </c>
      <c r="BP520" t="s">
        <v>74</v>
      </c>
      <c r="BQ520" t="s">
        <v>74</v>
      </c>
      <c r="BR520" t="s">
        <v>97</v>
      </c>
      <c r="BS520" t="s">
        <v>7678</v>
      </c>
      <c r="BT520" t="str">
        <f>HYPERLINK("https%3A%2F%2Fwww.webofscience.com%2Fwos%2Fwoscc%2Ffull-record%2FWOS:000182808300006","View Full Record in Web of Science")</f>
        <v>View Full Record in Web of Science</v>
      </c>
    </row>
    <row r="521" spans="1:72" x14ac:dyDescent="0.15">
      <c r="A521" t="s">
        <v>72</v>
      </c>
      <c r="B521" t="s">
        <v>7679</v>
      </c>
      <c r="C521" t="s">
        <v>74</v>
      </c>
      <c r="D521" t="s">
        <v>74</v>
      </c>
      <c r="E521" t="s">
        <v>74</v>
      </c>
      <c r="F521" t="s">
        <v>7679</v>
      </c>
      <c r="G521" t="s">
        <v>74</v>
      </c>
      <c r="H521" t="s">
        <v>74</v>
      </c>
      <c r="I521" t="s">
        <v>7680</v>
      </c>
      <c r="J521" t="s">
        <v>7681</v>
      </c>
      <c r="K521" t="s">
        <v>74</v>
      </c>
      <c r="L521" t="s">
        <v>74</v>
      </c>
      <c r="M521" t="s">
        <v>77</v>
      </c>
      <c r="N521" t="s">
        <v>78</v>
      </c>
      <c r="O521" t="s">
        <v>74</v>
      </c>
      <c r="P521" t="s">
        <v>74</v>
      </c>
      <c r="Q521" t="s">
        <v>74</v>
      </c>
      <c r="R521" t="s">
        <v>74</v>
      </c>
      <c r="S521" t="s">
        <v>74</v>
      </c>
      <c r="T521" t="s">
        <v>74</v>
      </c>
      <c r="U521" t="s">
        <v>7682</v>
      </c>
      <c r="V521" t="s">
        <v>7683</v>
      </c>
      <c r="W521" t="s">
        <v>7684</v>
      </c>
      <c r="X521" t="s">
        <v>7685</v>
      </c>
      <c r="Y521" t="s">
        <v>7686</v>
      </c>
      <c r="Z521" t="s">
        <v>7687</v>
      </c>
      <c r="AA521" t="s">
        <v>7688</v>
      </c>
      <c r="AB521" t="s">
        <v>7689</v>
      </c>
      <c r="AC521" t="s">
        <v>74</v>
      </c>
      <c r="AD521" t="s">
        <v>74</v>
      </c>
      <c r="AE521" t="s">
        <v>74</v>
      </c>
      <c r="AF521" t="s">
        <v>74</v>
      </c>
      <c r="AG521">
        <v>44</v>
      </c>
      <c r="AH521">
        <v>37</v>
      </c>
      <c r="AI521">
        <v>38</v>
      </c>
      <c r="AJ521">
        <v>1</v>
      </c>
      <c r="AK521">
        <v>19</v>
      </c>
      <c r="AL521" t="s">
        <v>207</v>
      </c>
      <c r="AM521" t="s">
        <v>229</v>
      </c>
      <c r="AN521" t="s">
        <v>323</v>
      </c>
      <c r="AO521" t="s">
        <v>7690</v>
      </c>
      <c r="AP521" t="s">
        <v>7691</v>
      </c>
      <c r="AQ521" t="s">
        <v>74</v>
      </c>
      <c r="AR521" t="s">
        <v>7692</v>
      </c>
      <c r="AS521" t="s">
        <v>7693</v>
      </c>
      <c r="AT521" t="s">
        <v>7577</v>
      </c>
      <c r="AU521">
        <v>2003</v>
      </c>
      <c r="AV521">
        <v>44</v>
      </c>
      <c r="AW521">
        <v>4</v>
      </c>
      <c r="AX521" t="s">
        <v>74</v>
      </c>
      <c r="AY521" t="s">
        <v>74</v>
      </c>
      <c r="AZ521" t="s">
        <v>74</v>
      </c>
      <c r="BA521" t="s">
        <v>74</v>
      </c>
      <c r="BB521">
        <v>533</v>
      </c>
      <c r="BC521">
        <v>545</v>
      </c>
      <c r="BD521" t="s">
        <v>74</v>
      </c>
      <c r="BE521" t="s">
        <v>7694</v>
      </c>
      <c r="BF521" t="str">
        <f>HYPERLINK("http://dx.doi.org/10.1007/s00244-002-2092-4","http://dx.doi.org/10.1007/s00244-002-2092-4")</f>
        <v>http://dx.doi.org/10.1007/s00244-002-2092-4</v>
      </c>
      <c r="BG521" t="s">
        <v>74</v>
      </c>
      <c r="BH521" t="s">
        <v>74</v>
      </c>
      <c r="BI521">
        <v>13</v>
      </c>
      <c r="BJ521" t="s">
        <v>4788</v>
      </c>
      <c r="BK521" t="s">
        <v>94</v>
      </c>
      <c r="BL521" t="s">
        <v>4789</v>
      </c>
      <c r="BM521" t="s">
        <v>7695</v>
      </c>
      <c r="BN521">
        <v>12712284</v>
      </c>
      <c r="BO521" t="s">
        <v>74</v>
      </c>
      <c r="BP521" t="s">
        <v>74</v>
      </c>
      <c r="BQ521" t="s">
        <v>74</v>
      </c>
      <c r="BR521" t="s">
        <v>97</v>
      </c>
      <c r="BS521" t="s">
        <v>7696</v>
      </c>
      <c r="BT521" t="str">
        <f>HYPERLINK("https%3A%2F%2Fwww.webofscience.com%2Fwos%2Fwoscc%2Ffull-record%2FWOS:000182102400014","View Full Record in Web of Science")</f>
        <v>View Full Record in Web of Science</v>
      </c>
    </row>
    <row r="522" spans="1:72" x14ac:dyDescent="0.15">
      <c r="A522" t="s">
        <v>72</v>
      </c>
      <c r="B522" t="s">
        <v>7697</v>
      </c>
      <c r="C522" t="s">
        <v>74</v>
      </c>
      <c r="D522" t="s">
        <v>74</v>
      </c>
      <c r="E522" t="s">
        <v>74</v>
      </c>
      <c r="F522" t="s">
        <v>7697</v>
      </c>
      <c r="G522" t="s">
        <v>74</v>
      </c>
      <c r="H522" t="s">
        <v>74</v>
      </c>
      <c r="I522" t="s">
        <v>7698</v>
      </c>
      <c r="J522" t="s">
        <v>3151</v>
      </c>
      <c r="K522" t="s">
        <v>74</v>
      </c>
      <c r="L522" t="s">
        <v>74</v>
      </c>
      <c r="M522" t="s">
        <v>77</v>
      </c>
      <c r="N522" t="s">
        <v>78</v>
      </c>
      <c r="O522" t="s">
        <v>74</v>
      </c>
      <c r="P522" t="s">
        <v>74</v>
      </c>
      <c r="Q522" t="s">
        <v>74</v>
      </c>
      <c r="R522" t="s">
        <v>74</v>
      </c>
      <c r="S522" t="s">
        <v>74</v>
      </c>
      <c r="T522" t="s">
        <v>74</v>
      </c>
      <c r="U522" t="s">
        <v>7699</v>
      </c>
      <c r="V522" t="s">
        <v>7700</v>
      </c>
      <c r="W522" t="s">
        <v>7701</v>
      </c>
      <c r="X522" t="s">
        <v>7702</v>
      </c>
      <c r="Y522" t="s">
        <v>7703</v>
      </c>
      <c r="Z522" t="s">
        <v>7704</v>
      </c>
      <c r="AA522" t="s">
        <v>7705</v>
      </c>
      <c r="AB522" t="s">
        <v>74</v>
      </c>
      <c r="AC522" t="s">
        <v>74</v>
      </c>
      <c r="AD522" t="s">
        <v>74</v>
      </c>
      <c r="AE522" t="s">
        <v>74</v>
      </c>
      <c r="AF522" t="s">
        <v>74</v>
      </c>
      <c r="AG522">
        <v>60</v>
      </c>
      <c r="AH522">
        <v>66</v>
      </c>
      <c r="AI522">
        <v>79</v>
      </c>
      <c r="AJ522">
        <v>1</v>
      </c>
      <c r="AK522">
        <v>12</v>
      </c>
      <c r="AL522" t="s">
        <v>3185</v>
      </c>
      <c r="AM522" t="s">
        <v>1748</v>
      </c>
      <c r="AN522" t="s">
        <v>3186</v>
      </c>
      <c r="AO522" t="s">
        <v>3160</v>
      </c>
      <c r="AP522" t="s">
        <v>3161</v>
      </c>
      <c r="AQ522" t="s">
        <v>74</v>
      </c>
      <c r="AR522" t="s">
        <v>3162</v>
      </c>
      <c r="AS522" t="s">
        <v>3163</v>
      </c>
      <c r="AT522" t="s">
        <v>7577</v>
      </c>
      <c r="AU522">
        <v>2003</v>
      </c>
      <c r="AV522">
        <v>35</v>
      </c>
      <c r="AW522">
        <v>2</v>
      </c>
      <c r="AX522" t="s">
        <v>74</v>
      </c>
      <c r="AY522" t="s">
        <v>74</v>
      </c>
      <c r="AZ522" t="s">
        <v>74</v>
      </c>
      <c r="BA522" t="s">
        <v>74</v>
      </c>
      <c r="BB522">
        <v>129</v>
      </c>
      <c r="BC522">
        <v>143</v>
      </c>
      <c r="BD522" t="s">
        <v>74</v>
      </c>
      <c r="BE522" t="s">
        <v>7706</v>
      </c>
      <c r="BF522" t="str">
        <f>HYPERLINK("http://dx.doi.org/10.1657/1523-0430(2003)035[0129:LAATMI]2.0.CO;2","http://dx.doi.org/10.1657/1523-0430(2003)035[0129:LAATMI]2.0.CO;2")</f>
        <v>http://dx.doi.org/10.1657/1523-0430(2003)035[0129:LAATMI]2.0.CO;2</v>
      </c>
      <c r="BG522" t="s">
        <v>74</v>
      </c>
      <c r="BH522" t="s">
        <v>74</v>
      </c>
      <c r="BI522">
        <v>15</v>
      </c>
      <c r="BJ522" t="s">
        <v>3165</v>
      </c>
      <c r="BK522" t="s">
        <v>94</v>
      </c>
      <c r="BL522" t="s">
        <v>3166</v>
      </c>
      <c r="BM522" t="s">
        <v>7707</v>
      </c>
      <c r="BN522" t="s">
        <v>74</v>
      </c>
      <c r="BO522" t="s">
        <v>1767</v>
      </c>
      <c r="BP522" t="s">
        <v>74</v>
      </c>
      <c r="BQ522" t="s">
        <v>74</v>
      </c>
      <c r="BR522" t="s">
        <v>97</v>
      </c>
      <c r="BS522" t="s">
        <v>7708</v>
      </c>
      <c r="BT522" t="str">
        <f>HYPERLINK("https%3A%2F%2Fwww.webofscience.com%2Fwos%2Fwoscc%2Ffull-record%2FWOS:000183952800001","View Full Record in Web of Science")</f>
        <v>View Full Record in Web of Science</v>
      </c>
    </row>
    <row r="523" spans="1:72" x14ac:dyDescent="0.15">
      <c r="A523" t="s">
        <v>72</v>
      </c>
      <c r="B523" t="s">
        <v>7709</v>
      </c>
      <c r="C523" t="s">
        <v>74</v>
      </c>
      <c r="D523" t="s">
        <v>74</v>
      </c>
      <c r="E523" t="s">
        <v>74</v>
      </c>
      <c r="F523" t="s">
        <v>7709</v>
      </c>
      <c r="G523" t="s">
        <v>74</v>
      </c>
      <c r="H523" t="s">
        <v>74</v>
      </c>
      <c r="I523" t="s">
        <v>7710</v>
      </c>
      <c r="J523" t="s">
        <v>3151</v>
      </c>
      <c r="K523" t="s">
        <v>74</v>
      </c>
      <c r="L523" t="s">
        <v>74</v>
      </c>
      <c r="M523" t="s">
        <v>77</v>
      </c>
      <c r="N523" t="s">
        <v>78</v>
      </c>
      <c r="O523" t="s">
        <v>74</v>
      </c>
      <c r="P523" t="s">
        <v>74</v>
      </c>
      <c r="Q523" t="s">
        <v>74</v>
      </c>
      <c r="R523" t="s">
        <v>74</v>
      </c>
      <c r="S523" t="s">
        <v>74</v>
      </c>
      <c r="T523" t="s">
        <v>74</v>
      </c>
      <c r="U523" t="s">
        <v>7711</v>
      </c>
      <c r="V523" t="s">
        <v>7712</v>
      </c>
      <c r="W523" t="s">
        <v>7713</v>
      </c>
      <c r="X523" t="s">
        <v>7714</v>
      </c>
      <c r="Y523" t="s">
        <v>7715</v>
      </c>
      <c r="Z523" t="s">
        <v>7716</v>
      </c>
      <c r="AA523" t="s">
        <v>74</v>
      </c>
      <c r="AB523" t="s">
        <v>74</v>
      </c>
      <c r="AC523" t="s">
        <v>74</v>
      </c>
      <c r="AD523" t="s">
        <v>74</v>
      </c>
      <c r="AE523" t="s">
        <v>74</v>
      </c>
      <c r="AF523" t="s">
        <v>74</v>
      </c>
      <c r="AG523">
        <v>47</v>
      </c>
      <c r="AH523">
        <v>51</v>
      </c>
      <c r="AI523">
        <v>72</v>
      </c>
      <c r="AJ523">
        <v>1</v>
      </c>
      <c r="AK523">
        <v>45</v>
      </c>
      <c r="AL523" t="s">
        <v>1651</v>
      </c>
      <c r="AM523" t="s">
        <v>1652</v>
      </c>
      <c r="AN523" t="s">
        <v>2361</v>
      </c>
      <c r="AO523" t="s">
        <v>3160</v>
      </c>
      <c r="AP523" t="s">
        <v>3161</v>
      </c>
      <c r="AQ523" t="s">
        <v>74</v>
      </c>
      <c r="AR523" t="s">
        <v>3162</v>
      </c>
      <c r="AS523" t="s">
        <v>3163</v>
      </c>
      <c r="AT523" t="s">
        <v>7577</v>
      </c>
      <c r="AU523">
        <v>2003</v>
      </c>
      <c r="AV523">
        <v>35</v>
      </c>
      <c r="AW523">
        <v>2</v>
      </c>
      <c r="AX523" t="s">
        <v>74</v>
      </c>
      <c r="AY523" t="s">
        <v>74</v>
      </c>
      <c r="AZ523" t="s">
        <v>74</v>
      </c>
      <c r="BA523" t="s">
        <v>74</v>
      </c>
      <c r="BB523">
        <v>144</v>
      </c>
      <c r="BC523">
        <v>149</v>
      </c>
      <c r="BD523" t="s">
        <v>74</v>
      </c>
      <c r="BE523" t="s">
        <v>7717</v>
      </c>
      <c r="BF523" t="str">
        <f>HYPERLINK("http://dx.doi.org/10.1657/1523-0430(2003)035[0144:ALVIFN]2.0.CO;2","http://dx.doi.org/10.1657/1523-0430(2003)035[0144:ALVIFN]2.0.CO;2")</f>
        <v>http://dx.doi.org/10.1657/1523-0430(2003)035[0144:ALVIFN]2.0.CO;2</v>
      </c>
      <c r="BG523" t="s">
        <v>74</v>
      </c>
      <c r="BH523" t="s">
        <v>74</v>
      </c>
      <c r="BI523">
        <v>6</v>
      </c>
      <c r="BJ523" t="s">
        <v>3165</v>
      </c>
      <c r="BK523" t="s">
        <v>94</v>
      </c>
      <c r="BL523" t="s">
        <v>3166</v>
      </c>
      <c r="BM523" t="s">
        <v>7707</v>
      </c>
      <c r="BN523" t="s">
        <v>74</v>
      </c>
      <c r="BO523" t="s">
        <v>1767</v>
      </c>
      <c r="BP523" t="s">
        <v>74</v>
      </c>
      <c r="BQ523" t="s">
        <v>74</v>
      </c>
      <c r="BR523" t="s">
        <v>97</v>
      </c>
      <c r="BS523" t="s">
        <v>7718</v>
      </c>
      <c r="BT523" t="str">
        <f>HYPERLINK("https%3A%2F%2Fwww.webofscience.com%2Fwos%2Fwoscc%2Ffull-record%2FWOS:000183952800002","View Full Record in Web of Science")</f>
        <v>View Full Record in Web of Science</v>
      </c>
    </row>
    <row r="524" spans="1:72" x14ac:dyDescent="0.15">
      <c r="A524" t="s">
        <v>72</v>
      </c>
      <c r="B524" t="s">
        <v>7719</v>
      </c>
      <c r="C524" t="s">
        <v>74</v>
      </c>
      <c r="D524" t="s">
        <v>74</v>
      </c>
      <c r="E524" t="s">
        <v>74</v>
      </c>
      <c r="F524" t="s">
        <v>7719</v>
      </c>
      <c r="G524" t="s">
        <v>74</v>
      </c>
      <c r="H524" t="s">
        <v>74</v>
      </c>
      <c r="I524" t="s">
        <v>7720</v>
      </c>
      <c r="J524" t="s">
        <v>3151</v>
      </c>
      <c r="K524" t="s">
        <v>74</v>
      </c>
      <c r="L524" t="s">
        <v>74</v>
      </c>
      <c r="M524" t="s">
        <v>77</v>
      </c>
      <c r="N524" t="s">
        <v>78</v>
      </c>
      <c r="O524" t="s">
        <v>74</v>
      </c>
      <c r="P524" t="s">
        <v>74</v>
      </c>
      <c r="Q524" t="s">
        <v>74</v>
      </c>
      <c r="R524" t="s">
        <v>74</v>
      </c>
      <c r="S524" t="s">
        <v>74</v>
      </c>
      <c r="T524" t="s">
        <v>74</v>
      </c>
      <c r="U524" t="s">
        <v>7721</v>
      </c>
      <c r="V524" t="s">
        <v>7722</v>
      </c>
      <c r="W524" t="s">
        <v>7723</v>
      </c>
      <c r="X524" t="s">
        <v>7724</v>
      </c>
      <c r="Y524" t="s">
        <v>7725</v>
      </c>
      <c r="Z524" t="s">
        <v>7726</v>
      </c>
      <c r="AA524" t="s">
        <v>74</v>
      </c>
      <c r="AB524" t="s">
        <v>7727</v>
      </c>
      <c r="AC524" t="s">
        <v>74</v>
      </c>
      <c r="AD524" t="s">
        <v>74</v>
      </c>
      <c r="AE524" t="s">
        <v>74</v>
      </c>
      <c r="AF524" t="s">
        <v>74</v>
      </c>
      <c r="AG524">
        <v>42</v>
      </c>
      <c r="AH524">
        <v>24</v>
      </c>
      <c r="AI524">
        <v>26</v>
      </c>
      <c r="AJ524">
        <v>0</v>
      </c>
      <c r="AK524">
        <v>23</v>
      </c>
      <c r="AL524" t="s">
        <v>1651</v>
      </c>
      <c r="AM524" t="s">
        <v>1652</v>
      </c>
      <c r="AN524" t="s">
        <v>2361</v>
      </c>
      <c r="AO524" t="s">
        <v>3160</v>
      </c>
      <c r="AP524" t="s">
        <v>3161</v>
      </c>
      <c r="AQ524" t="s">
        <v>74</v>
      </c>
      <c r="AR524" t="s">
        <v>3162</v>
      </c>
      <c r="AS524" t="s">
        <v>3163</v>
      </c>
      <c r="AT524" t="s">
        <v>7577</v>
      </c>
      <c r="AU524">
        <v>2003</v>
      </c>
      <c r="AV524">
        <v>35</v>
      </c>
      <c r="AW524">
        <v>2</v>
      </c>
      <c r="AX524" t="s">
        <v>74</v>
      </c>
      <c r="AY524" t="s">
        <v>74</v>
      </c>
      <c r="AZ524" t="s">
        <v>74</v>
      </c>
      <c r="BA524" t="s">
        <v>74</v>
      </c>
      <c r="BB524">
        <v>150</v>
      </c>
      <c r="BC524">
        <v>157</v>
      </c>
      <c r="BD524" t="s">
        <v>74</v>
      </c>
      <c r="BE524" t="s">
        <v>7728</v>
      </c>
      <c r="BF524" t="str">
        <f>HYPERLINK("http://dx.doi.org/10.1657/1523-0430(2003)035[0150:CSIAAD]2.0.CO;2","http://dx.doi.org/10.1657/1523-0430(2003)035[0150:CSIAAD]2.0.CO;2")</f>
        <v>http://dx.doi.org/10.1657/1523-0430(2003)035[0150:CSIAAD]2.0.CO;2</v>
      </c>
      <c r="BG524" t="s">
        <v>74</v>
      </c>
      <c r="BH524" t="s">
        <v>74</v>
      </c>
      <c r="BI524">
        <v>8</v>
      </c>
      <c r="BJ524" t="s">
        <v>3165</v>
      </c>
      <c r="BK524" t="s">
        <v>94</v>
      </c>
      <c r="BL524" t="s">
        <v>3166</v>
      </c>
      <c r="BM524" t="s">
        <v>7707</v>
      </c>
      <c r="BN524" t="s">
        <v>74</v>
      </c>
      <c r="BO524" t="s">
        <v>1767</v>
      </c>
      <c r="BP524" t="s">
        <v>74</v>
      </c>
      <c r="BQ524" t="s">
        <v>74</v>
      </c>
      <c r="BR524" t="s">
        <v>97</v>
      </c>
      <c r="BS524" t="s">
        <v>7729</v>
      </c>
      <c r="BT524" t="str">
        <f>HYPERLINK("https%3A%2F%2Fwww.webofscience.com%2Fwos%2Fwoscc%2Ffull-record%2FWOS:000183952800003","View Full Record in Web of Science")</f>
        <v>View Full Record in Web of Science</v>
      </c>
    </row>
    <row r="525" spans="1:72" x14ac:dyDescent="0.15">
      <c r="A525" t="s">
        <v>72</v>
      </c>
      <c r="B525" t="s">
        <v>7730</v>
      </c>
      <c r="C525" t="s">
        <v>74</v>
      </c>
      <c r="D525" t="s">
        <v>74</v>
      </c>
      <c r="E525" t="s">
        <v>74</v>
      </c>
      <c r="F525" t="s">
        <v>7730</v>
      </c>
      <c r="G525" t="s">
        <v>74</v>
      </c>
      <c r="H525" t="s">
        <v>74</v>
      </c>
      <c r="I525" t="s">
        <v>7731</v>
      </c>
      <c r="J525" t="s">
        <v>3151</v>
      </c>
      <c r="K525" t="s">
        <v>74</v>
      </c>
      <c r="L525" t="s">
        <v>74</v>
      </c>
      <c r="M525" t="s">
        <v>77</v>
      </c>
      <c r="N525" t="s">
        <v>78</v>
      </c>
      <c r="O525" t="s">
        <v>74</v>
      </c>
      <c r="P525" t="s">
        <v>74</v>
      </c>
      <c r="Q525" t="s">
        <v>74</v>
      </c>
      <c r="R525" t="s">
        <v>74</v>
      </c>
      <c r="S525" t="s">
        <v>74</v>
      </c>
      <c r="T525" t="s">
        <v>74</v>
      </c>
      <c r="U525" t="s">
        <v>7732</v>
      </c>
      <c r="V525" t="s">
        <v>7733</v>
      </c>
      <c r="W525" t="s">
        <v>7734</v>
      </c>
      <c r="X525" t="s">
        <v>7735</v>
      </c>
      <c r="Y525" t="s">
        <v>7736</v>
      </c>
      <c r="Z525" t="s">
        <v>7737</v>
      </c>
      <c r="AA525" t="s">
        <v>7738</v>
      </c>
      <c r="AB525" t="s">
        <v>7739</v>
      </c>
      <c r="AC525" t="s">
        <v>74</v>
      </c>
      <c r="AD525" t="s">
        <v>74</v>
      </c>
      <c r="AE525" t="s">
        <v>74</v>
      </c>
      <c r="AF525" t="s">
        <v>74</v>
      </c>
      <c r="AG525">
        <v>68</v>
      </c>
      <c r="AH525">
        <v>147</v>
      </c>
      <c r="AI525">
        <v>150</v>
      </c>
      <c r="AJ525">
        <v>1</v>
      </c>
      <c r="AK525">
        <v>42</v>
      </c>
      <c r="AL525" t="s">
        <v>1651</v>
      </c>
      <c r="AM525" t="s">
        <v>1652</v>
      </c>
      <c r="AN525" t="s">
        <v>2361</v>
      </c>
      <c r="AO525" t="s">
        <v>3160</v>
      </c>
      <c r="AP525" t="s">
        <v>3161</v>
      </c>
      <c r="AQ525" t="s">
        <v>74</v>
      </c>
      <c r="AR525" t="s">
        <v>3162</v>
      </c>
      <c r="AS525" t="s">
        <v>3163</v>
      </c>
      <c r="AT525" t="s">
        <v>7577</v>
      </c>
      <c r="AU525">
        <v>2003</v>
      </c>
      <c r="AV525">
        <v>35</v>
      </c>
      <c r="AW525">
        <v>2</v>
      </c>
      <c r="AX525" t="s">
        <v>74</v>
      </c>
      <c r="AY525" t="s">
        <v>74</v>
      </c>
      <c r="AZ525" t="s">
        <v>74</v>
      </c>
      <c r="BA525" t="s">
        <v>74</v>
      </c>
      <c r="BB525">
        <v>158</v>
      </c>
      <c r="BC525">
        <v>169</v>
      </c>
      <c r="BD525" t="s">
        <v>74</v>
      </c>
      <c r="BE525" t="s">
        <v>7740</v>
      </c>
      <c r="BF525" t="str">
        <f>HYPERLINK("http://dx.doi.org/10.1657/1523-0430(2003)035[0158:ULEAFO]2.0.CO;2","http://dx.doi.org/10.1657/1523-0430(2003)035[0158:ULEAFO]2.0.CO;2")</f>
        <v>http://dx.doi.org/10.1657/1523-0430(2003)035[0158:ULEAFO]2.0.CO;2</v>
      </c>
      <c r="BG525" t="s">
        <v>74</v>
      </c>
      <c r="BH525" t="s">
        <v>74</v>
      </c>
      <c r="BI525">
        <v>12</v>
      </c>
      <c r="BJ525" t="s">
        <v>3165</v>
      </c>
      <c r="BK525" t="s">
        <v>94</v>
      </c>
      <c r="BL525" t="s">
        <v>3166</v>
      </c>
      <c r="BM525" t="s">
        <v>7707</v>
      </c>
      <c r="BN525" t="s">
        <v>74</v>
      </c>
      <c r="BO525" t="s">
        <v>551</v>
      </c>
      <c r="BP525" t="s">
        <v>74</v>
      </c>
      <c r="BQ525" t="s">
        <v>74</v>
      </c>
      <c r="BR525" t="s">
        <v>97</v>
      </c>
      <c r="BS525" t="s">
        <v>7741</v>
      </c>
      <c r="BT525" t="str">
        <f>HYPERLINK("https%3A%2F%2Fwww.webofscience.com%2Fwos%2Fwoscc%2Ffull-record%2FWOS:000183952800004","View Full Record in Web of Science")</f>
        <v>View Full Record in Web of Science</v>
      </c>
    </row>
    <row r="526" spans="1:72" x14ac:dyDescent="0.15">
      <c r="A526" t="s">
        <v>72</v>
      </c>
      <c r="B526" t="s">
        <v>7742</v>
      </c>
      <c r="C526" t="s">
        <v>74</v>
      </c>
      <c r="D526" t="s">
        <v>74</v>
      </c>
      <c r="E526" t="s">
        <v>74</v>
      </c>
      <c r="F526" t="s">
        <v>7742</v>
      </c>
      <c r="G526" t="s">
        <v>74</v>
      </c>
      <c r="H526" t="s">
        <v>74</v>
      </c>
      <c r="I526" t="s">
        <v>7743</v>
      </c>
      <c r="J526" t="s">
        <v>3151</v>
      </c>
      <c r="K526" t="s">
        <v>74</v>
      </c>
      <c r="L526" t="s">
        <v>74</v>
      </c>
      <c r="M526" t="s">
        <v>77</v>
      </c>
      <c r="N526" t="s">
        <v>78</v>
      </c>
      <c r="O526" t="s">
        <v>74</v>
      </c>
      <c r="P526" t="s">
        <v>74</v>
      </c>
      <c r="Q526" t="s">
        <v>74</v>
      </c>
      <c r="R526" t="s">
        <v>74</v>
      </c>
      <c r="S526" t="s">
        <v>74</v>
      </c>
      <c r="T526" t="s">
        <v>74</v>
      </c>
      <c r="U526" t="s">
        <v>7744</v>
      </c>
      <c r="V526" t="s">
        <v>7745</v>
      </c>
      <c r="W526" t="s">
        <v>7746</v>
      </c>
      <c r="X526" t="s">
        <v>7747</v>
      </c>
      <c r="Y526" t="s">
        <v>7748</v>
      </c>
      <c r="Z526" t="s">
        <v>74</v>
      </c>
      <c r="AA526" t="s">
        <v>74</v>
      </c>
      <c r="AB526" t="s">
        <v>74</v>
      </c>
      <c r="AC526" t="s">
        <v>74</v>
      </c>
      <c r="AD526" t="s">
        <v>74</v>
      </c>
      <c r="AE526" t="s">
        <v>74</v>
      </c>
      <c r="AF526" t="s">
        <v>74</v>
      </c>
      <c r="AG526">
        <v>32</v>
      </c>
      <c r="AH526">
        <v>4</v>
      </c>
      <c r="AI526">
        <v>4</v>
      </c>
      <c r="AJ526">
        <v>1</v>
      </c>
      <c r="AK526">
        <v>4</v>
      </c>
      <c r="AL526" t="s">
        <v>3185</v>
      </c>
      <c r="AM526" t="s">
        <v>1748</v>
      </c>
      <c r="AN526" t="s">
        <v>3186</v>
      </c>
      <c r="AO526" t="s">
        <v>3160</v>
      </c>
      <c r="AP526" t="s">
        <v>74</v>
      </c>
      <c r="AQ526" t="s">
        <v>74</v>
      </c>
      <c r="AR526" t="s">
        <v>3162</v>
      </c>
      <c r="AS526" t="s">
        <v>3163</v>
      </c>
      <c r="AT526" t="s">
        <v>7577</v>
      </c>
      <c r="AU526">
        <v>2003</v>
      </c>
      <c r="AV526">
        <v>35</v>
      </c>
      <c r="AW526">
        <v>2</v>
      </c>
      <c r="AX526" t="s">
        <v>74</v>
      </c>
      <c r="AY526" t="s">
        <v>74</v>
      </c>
      <c r="AZ526" t="s">
        <v>74</v>
      </c>
      <c r="BA526" t="s">
        <v>74</v>
      </c>
      <c r="BB526">
        <v>170</v>
      </c>
      <c r="BC526">
        <v>174</v>
      </c>
      <c r="BD526" t="s">
        <v>74</v>
      </c>
      <c r="BE526" t="s">
        <v>7749</v>
      </c>
      <c r="BF526" t="str">
        <f>HYPERLINK("http://dx.doi.org/10.1657/1523-0430(2003)035[0170:MVIFVA]2.0.CO;2","http://dx.doi.org/10.1657/1523-0430(2003)035[0170:MVIFVA]2.0.CO;2")</f>
        <v>http://dx.doi.org/10.1657/1523-0430(2003)035[0170:MVIFVA]2.0.CO;2</v>
      </c>
      <c r="BG526" t="s">
        <v>74</v>
      </c>
      <c r="BH526" t="s">
        <v>74</v>
      </c>
      <c r="BI526">
        <v>5</v>
      </c>
      <c r="BJ526" t="s">
        <v>3165</v>
      </c>
      <c r="BK526" t="s">
        <v>94</v>
      </c>
      <c r="BL526" t="s">
        <v>3166</v>
      </c>
      <c r="BM526" t="s">
        <v>7707</v>
      </c>
      <c r="BN526" t="s">
        <v>74</v>
      </c>
      <c r="BO526" t="s">
        <v>1767</v>
      </c>
      <c r="BP526" t="s">
        <v>74</v>
      </c>
      <c r="BQ526" t="s">
        <v>74</v>
      </c>
      <c r="BR526" t="s">
        <v>97</v>
      </c>
      <c r="BS526" t="s">
        <v>7750</v>
      </c>
      <c r="BT526" t="str">
        <f>HYPERLINK("https%3A%2F%2Fwww.webofscience.com%2Fwos%2Fwoscc%2Ffull-record%2FWOS:000183952800005","View Full Record in Web of Science")</f>
        <v>View Full Record in Web of Science</v>
      </c>
    </row>
    <row r="527" spans="1:72" x14ac:dyDescent="0.15">
      <c r="A527" t="s">
        <v>72</v>
      </c>
      <c r="B527" t="s">
        <v>7751</v>
      </c>
      <c r="C527" t="s">
        <v>74</v>
      </c>
      <c r="D527" t="s">
        <v>74</v>
      </c>
      <c r="E527" t="s">
        <v>74</v>
      </c>
      <c r="F527" t="s">
        <v>7751</v>
      </c>
      <c r="G527" t="s">
        <v>74</v>
      </c>
      <c r="H527" t="s">
        <v>74</v>
      </c>
      <c r="I527" t="s">
        <v>7752</v>
      </c>
      <c r="J527" t="s">
        <v>3151</v>
      </c>
      <c r="K527" t="s">
        <v>74</v>
      </c>
      <c r="L527" t="s">
        <v>74</v>
      </c>
      <c r="M527" t="s">
        <v>77</v>
      </c>
      <c r="N527" t="s">
        <v>556</v>
      </c>
      <c r="O527" t="s">
        <v>74</v>
      </c>
      <c r="P527" t="s">
        <v>74</v>
      </c>
      <c r="Q527" t="s">
        <v>74</v>
      </c>
      <c r="R527" t="s">
        <v>74</v>
      </c>
      <c r="S527" t="s">
        <v>74</v>
      </c>
      <c r="T527" t="s">
        <v>74</v>
      </c>
      <c r="U527" t="s">
        <v>7753</v>
      </c>
      <c r="V527" t="s">
        <v>7754</v>
      </c>
      <c r="W527" t="s">
        <v>7755</v>
      </c>
      <c r="X527" t="s">
        <v>7756</v>
      </c>
      <c r="Y527" t="s">
        <v>74</v>
      </c>
      <c r="Z527" t="s">
        <v>7757</v>
      </c>
      <c r="AA527" t="s">
        <v>7758</v>
      </c>
      <c r="AB527" t="s">
        <v>7759</v>
      </c>
      <c r="AC527" t="s">
        <v>74</v>
      </c>
      <c r="AD527" t="s">
        <v>74</v>
      </c>
      <c r="AE527" t="s">
        <v>74</v>
      </c>
      <c r="AF527" t="s">
        <v>74</v>
      </c>
      <c r="AG527">
        <v>125</v>
      </c>
      <c r="AH527">
        <v>55</v>
      </c>
      <c r="AI527">
        <v>66</v>
      </c>
      <c r="AJ527">
        <v>3</v>
      </c>
      <c r="AK527">
        <v>29</v>
      </c>
      <c r="AL527" t="s">
        <v>1651</v>
      </c>
      <c r="AM527" t="s">
        <v>1652</v>
      </c>
      <c r="AN527" t="s">
        <v>2361</v>
      </c>
      <c r="AO527" t="s">
        <v>3160</v>
      </c>
      <c r="AP527" t="s">
        <v>3161</v>
      </c>
      <c r="AQ527" t="s">
        <v>74</v>
      </c>
      <c r="AR527" t="s">
        <v>3162</v>
      </c>
      <c r="AS527" t="s">
        <v>3163</v>
      </c>
      <c r="AT527" t="s">
        <v>7577</v>
      </c>
      <c r="AU527">
        <v>2003</v>
      </c>
      <c r="AV527">
        <v>35</v>
      </c>
      <c r="AW527">
        <v>2</v>
      </c>
      <c r="AX527" t="s">
        <v>74</v>
      </c>
      <c r="AY527" t="s">
        <v>74</v>
      </c>
      <c r="AZ527" t="s">
        <v>74</v>
      </c>
      <c r="BA527" t="s">
        <v>74</v>
      </c>
      <c r="BB527">
        <v>175</v>
      </c>
      <c r="BC527">
        <v>186</v>
      </c>
      <c r="BD527" t="s">
        <v>74</v>
      </c>
      <c r="BE527" t="s">
        <v>7760</v>
      </c>
      <c r="BF527" t="str">
        <f>HYPERLINK("http://dx.doi.org/10.1657/1523-0430(2003)035[0175:GACHOT]2.0.CO;2","http://dx.doi.org/10.1657/1523-0430(2003)035[0175:GACHOT]2.0.CO;2")</f>
        <v>http://dx.doi.org/10.1657/1523-0430(2003)035[0175:GACHOT]2.0.CO;2</v>
      </c>
      <c r="BG527" t="s">
        <v>74</v>
      </c>
      <c r="BH527" t="s">
        <v>74</v>
      </c>
      <c r="BI527">
        <v>12</v>
      </c>
      <c r="BJ527" t="s">
        <v>3165</v>
      </c>
      <c r="BK527" t="s">
        <v>94</v>
      </c>
      <c r="BL527" t="s">
        <v>3166</v>
      </c>
      <c r="BM527" t="s">
        <v>7707</v>
      </c>
      <c r="BN527" t="s">
        <v>74</v>
      </c>
      <c r="BO527" t="s">
        <v>74</v>
      </c>
      <c r="BP527" t="s">
        <v>74</v>
      </c>
      <c r="BQ527" t="s">
        <v>74</v>
      </c>
      <c r="BR527" t="s">
        <v>97</v>
      </c>
      <c r="BS527" t="s">
        <v>7761</v>
      </c>
      <c r="BT527" t="str">
        <f>HYPERLINK("https%3A%2F%2Fwww.webofscience.com%2Fwos%2Fwoscc%2Ffull-record%2FWOS:000183952800006","View Full Record in Web of Science")</f>
        <v>View Full Record in Web of Science</v>
      </c>
    </row>
    <row r="528" spans="1:72" x14ac:dyDescent="0.15">
      <c r="A528" t="s">
        <v>72</v>
      </c>
      <c r="B528" t="s">
        <v>7762</v>
      </c>
      <c r="C528" t="s">
        <v>74</v>
      </c>
      <c r="D528" t="s">
        <v>74</v>
      </c>
      <c r="E528" t="s">
        <v>74</v>
      </c>
      <c r="F528" t="s">
        <v>7762</v>
      </c>
      <c r="G528" t="s">
        <v>74</v>
      </c>
      <c r="H528" t="s">
        <v>74</v>
      </c>
      <c r="I528" t="s">
        <v>7763</v>
      </c>
      <c r="J528" t="s">
        <v>3151</v>
      </c>
      <c r="K528" t="s">
        <v>74</v>
      </c>
      <c r="L528" t="s">
        <v>74</v>
      </c>
      <c r="M528" t="s">
        <v>77</v>
      </c>
      <c r="N528" t="s">
        <v>78</v>
      </c>
      <c r="O528" t="s">
        <v>74</v>
      </c>
      <c r="P528" t="s">
        <v>74</v>
      </c>
      <c r="Q528" t="s">
        <v>74</v>
      </c>
      <c r="R528" t="s">
        <v>74</v>
      </c>
      <c r="S528" t="s">
        <v>74</v>
      </c>
      <c r="T528" t="s">
        <v>74</v>
      </c>
      <c r="U528" t="s">
        <v>7764</v>
      </c>
      <c r="V528" t="s">
        <v>7765</v>
      </c>
      <c r="W528" t="s">
        <v>7766</v>
      </c>
      <c r="X528" t="s">
        <v>7767</v>
      </c>
      <c r="Y528" t="s">
        <v>7768</v>
      </c>
      <c r="Z528" t="s">
        <v>74</v>
      </c>
      <c r="AA528" t="s">
        <v>7769</v>
      </c>
      <c r="AB528" t="s">
        <v>7770</v>
      </c>
      <c r="AC528" t="s">
        <v>74</v>
      </c>
      <c r="AD528" t="s">
        <v>74</v>
      </c>
      <c r="AE528" t="s">
        <v>74</v>
      </c>
      <c r="AF528" t="s">
        <v>74</v>
      </c>
      <c r="AG528">
        <v>37</v>
      </c>
      <c r="AH528">
        <v>27</v>
      </c>
      <c r="AI528">
        <v>30</v>
      </c>
      <c r="AJ528">
        <v>0</v>
      </c>
      <c r="AK528">
        <v>28</v>
      </c>
      <c r="AL528" t="s">
        <v>3185</v>
      </c>
      <c r="AM528" t="s">
        <v>1748</v>
      </c>
      <c r="AN528" t="s">
        <v>3186</v>
      </c>
      <c r="AO528" t="s">
        <v>3160</v>
      </c>
      <c r="AP528" t="s">
        <v>74</v>
      </c>
      <c r="AQ528" t="s">
        <v>74</v>
      </c>
      <c r="AR528" t="s">
        <v>3162</v>
      </c>
      <c r="AS528" t="s">
        <v>3163</v>
      </c>
      <c r="AT528" t="s">
        <v>7577</v>
      </c>
      <c r="AU528">
        <v>2003</v>
      </c>
      <c r="AV528">
        <v>35</v>
      </c>
      <c r="AW528">
        <v>2</v>
      </c>
      <c r="AX528" t="s">
        <v>74</v>
      </c>
      <c r="AY528" t="s">
        <v>74</v>
      </c>
      <c r="AZ528" t="s">
        <v>74</v>
      </c>
      <c r="BA528" t="s">
        <v>74</v>
      </c>
      <c r="BB528">
        <v>187</v>
      </c>
      <c r="BC528">
        <v>195</v>
      </c>
      <c r="BD528" t="s">
        <v>74</v>
      </c>
      <c r="BE528" t="s">
        <v>7771</v>
      </c>
      <c r="BF528" t="str">
        <f>HYPERLINK("http://dx.doi.org/10.1657/1523-0430(2003)035[0187:RDOTGR]2.0.CO;2","http://dx.doi.org/10.1657/1523-0430(2003)035[0187:RDOTGR]2.0.CO;2")</f>
        <v>http://dx.doi.org/10.1657/1523-0430(2003)035[0187:RDOTGR]2.0.CO;2</v>
      </c>
      <c r="BG528" t="s">
        <v>74</v>
      </c>
      <c r="BH528" t="s">
        <v>74</v>
      </c>
      <c r="BI528">
        <v>9</v>
      </c>
      <c r="BJ528" t="s">
        <v>3165</v>
      </c>
      <c r="BK528" t="s">
        <v>94</v>
      </c>
      <c r="BL528" t="s">
        <v>3166</v>
      </c>
      <c r="BM528" t="s">
        <v>7707</v>
      </c>
      <c r="BN528" t="s">
        <v>74</v>
      </c>
      <c r="BO528" t="s">
        <v>1767</v>
      </c>
      <c r="BP528" t="s">
        <v>74</v>
      </c>
      <c r="BQ528" t="s">
        <v>74</v>
      </c>
      <c r="BR528" t="s">
        <v>97</v>
      </c>
      <c r="BS528" t="s">
        <v>7772</v>
      </c>
      <c r="BT528" t="str">
        <f>HYPERLINK("https%3A%2F%2Fwww.webofscience.com%2Fwos%2Fwoscc%2Ffull-record%2FWOS:000183952800007","View Full Record in Web of Science")</f>
        <v>View Full Record in Web of Science</v>
      </c>
    </row>
    <row r="529" spans="1:72" x14ac:dyDescent="0.15">
      <c r="A529" t="s">
        <v>72</v>
      </c>
      <c r="B529" t="s">
        <v>7773</v>
      </c>
      <c r="C529" t="s">
        <v>74</v>
      </c>
      <c r="D529" t="s">
        <v>74</v>
      </c>
      <c r="E529" t="s">
        <v>74</v>
      </c>
      <c r="F529" t="s">
        <v>7773</v>
      </c>
      <c r="G529" t="s">
        <v>74</v>
      </c>
      <c r="H529" t="s">
        <v>74</v>
      </c>
      <c r="I529" t="s">
        <v>7774</v>
      </c>
      <c r="J529" t="s">
        <v>3151</v>
      </c>
      <c r="K529" t="s">
        <v>74</v>
      </c>
      <c r="L529" t="s">
        <v>74</v>
      </c>
      <c r="M529" t="s">
        <v>77</v>
      </c>
      <c r="N529" t="s">
        <v>78</v>
      </c>
      <c r="O529" t="s">
        <v>74</v>
      </c>
      <c r="P529" t="s">
        <v>74</v>
      </c>
      <c r="Q529" t="s">
        <v>74</v>
      </c>
      <c r="R529" t="s">
        <v>74</v>
      </c>
      <c r="S529" t="s">
        <v>74</v>
      </c>
      <c r="T529" t="s">
        <v>74</v>
      </c>
      <c r="U529" t="s">
        <v>7775</v>
      </c>
      <c r="V529" t="s">
        <v>7776</v>
      </c>
      <c r="W529" t="s">
        <v>7777</v>
      </c>
      <c r="X529" t="s">
        <v>7778</v>
      </c>
      <c r="Y529" t="s">
        <v>7779</v>
      </c>
      <c r="Z529" t="s">
        <v>7780</v>
      </c>
      <c r="AA529" t="s">
        <v>74</v>
      </c>
      <c r="AB529" t="s">
        <v>74</v>
      </c>
      <c r="AC529" t="s">
        <v>74</v>
      </c>
      <c r="AD529" t="s">
        <v>74</v>
      </c>
      <c r="AE529" t="s">
        <v>74</v>
      </c>
      <c r="AF529" t="s">
        <v>74</v>
      </c>
      <c r="AG529">
        <v>38</v>
      </c>
      <c r="AH529">
        <v>44</v>
      </c>
      <c r="AI529">
        <v>45</v>
      </c>
      <c r="AJ529">
        <v>0</v>
      </c>
      <c r="AK529">
        <v>10</v>
      </c>
      <c r="AL529" t="s">
        <v>1651</v>
      </c>
      <c r="AM529" t="s">
        <v>1652</v>
      </c>
      <c r="AN529" t="s">
        <v>2361</v>
      </c>
      <c r="AO529" t="s">
        <v>3160</v>
      </c>
      <c r="AP529" t="s">
        <v>3161</v>
      </c>
      <c r="AQ529" t="s">
        <v>74</v>
      </c>
      <c r="AR529" t="s">
        <v>3162</v>
      </c>
      <c r="AS529" t="s">
        <v>3163</v>
      </c>
      <c r="AT529" t="s">
        <v>7577</v>
      </c>
      <c r="AU529">
        <v>2003</v>
      </c>
      <c r="AV529">
        <v>35</v>
      </c>
      <c r="AW529">
        <v>2</v>
      </c>
      <c r="AX529" t="s">
        <v>74</v>
      </c>
      <c r="AY529" t="s">
        <v>74</v>
      </c>
      <c r="AZ529" t="s">
        <v>74</v>
      </c>
      <c r="BA529" t="s">
        <v>74</v>
      </c>
      <c r="BB529">
        <v>196</v>
      </c>
      <c r="BC529">
        <v>202</v>
      </c>
      <c r="BD529" t="s">
        <v>74</v>
      </c>
      <c r="BE529" t="s">
        <v>7781</v>
      </c>
      <c r="BF529" t="str">
        <f>HYPERLINK("http://dx.doi.org/10.1657/1523-0430(2003)035[0196:LTROTE]2.0.CO;2","http://dx.doi.org/10.1657/1523-0430(2003)035[0196:LTROTE]2.0.CO;2")</f>
        <v>http://dx.doi.org/10.1657/1523-0430(2003)035[0196:LTROTE]2.0.CO;2</v>
      </c>
      <c r="BG529" t="s">
        <v>74</v>
      </c>
      <c r="BH529" t="s">
        <v>74</v>
      </c>
      <c r="BI529">
        <v>7</v>
      </c>
      <c r="BJ529" t="s">
        <v>3165</v>
      </c>
      <c r="BK529" t="s">
        <v>94</v>
      </c>
      <c r="BL529" t="s">
        <v>3166</v>
      </c>
      <c r="BM529" t="s">
        <v>7707</v>
      </c>
      <c r="BN529" t="s">
        <v>74</v>
      </c>
      <c r="BO529" t="s">
        <v>1767</v>
      </c>
      <c r="BP529" t="s">
        <v>74</v>
      </c>
      <c r="BQ529" t="s">
        <v>74</v>
      </c>
      <c r="BR529" t="s">
        <v>97</v>
      </c>
      <c r="BS529" t="s">
        <v>7782</v>
      </c>
      <c r="BT529" t="str">
        <f>HYPERLINK("https%3A%2F%2Fwww.webofscience.com%2Fwos%2Fwoscc%2Ffull-record%2FWOS:000183952800008","View Full Record in Web of Science")</f>
        <v>View Full Record in Web of Science</v>
      </c>
    </row>
    <row r="530" spans="1:72" x14ac:dyDescent="0.15">
      <c r="A530" t="s">
        <v>72</v>
      </c>
      <c r="B530" t="s">
        <v>7783</v>
      </c>
      <c r="C530" t="s">
        <v>74</v>
      </c>
      <c r="D530" t="s">
        <v>74</v>
      </c>
      <c r="E530" t="s">
        <v>74</v>
      </c>
      <c r="F530" t="s">
        <v>7783</v>
      </c>
      <c r="G530" t="s">
        <v>74</v>
      </c>
      <c r="H530" t="s">
        <v>74</v>
      </c>
      <c r="I530" t="s">
        <v>7784</v>
      </c>
      <c r="J530" t="s">
        <v>3151</v>
      </c>
      <c r="K530" t="s">
        <v>74</v>
      </c>
      <c r="L530" t="s">
        <v>74</v>
      </c>
      <c r="M530" t="s">
        <v>77</v>
      </c>
      <c r="N530" t="s">
        <v>78</v>
      </c>
      <c r="O530" t="s">
        <v>74</v>
      </c>
      <c r="P530" t="s">
        <v>74</v>
      </c>
      <c r="Q530" t="s">
        <v>74</v>
      </c>
      <c r="R530" t="s">
        <v>74</v>
      </c>
      <c r="S530" t="s">
        <v>74</v>
      </c>
      <c r="T530" t="s">
        <v>74</v>
      </c>
      <c r="U530" t="s">
        <v>7785</v>
      </c>
      <c r="V530" t="s">
        <v>7786</v>
      </c>
      <c r="W530" t="s">
        <v>7787</v>
      </c>
      <c r="X530" t="s">
        <v>7788</v>
      </c>
      <c r="Y530" t="s">
        <v>7789</v>
      </c>
      <c r="Z530" t="s">
        <v>74</v>
      </c>
      <c r="AA530" t="s">
        <v>74</v>
      </c>
      <c r="AB530" t="s">
        <v>74</v>
      </c>
      <c r="AC530" t="s">
        <v>74</v>
      </c>
      <c r="AD530" t="s">
        <v>74</v>
      </c>
      <c r="AE530" t="s">
        <v>74</v>
      </c>
      <c r="AF530" t="s">
        <v>74</v>
      </c>
      <c r="AG530">
        <v>30</v>
      </c>
      <c r="AH530">
        <v>26</v>
      </c>
      <c r="AI530">
        <v>27</v>
      </c>
      <c r="AJ530">
        <v>0</v>
      </c>
      <c r="AK530">
        <v>6</v>
      </c>
      <c r="AL530" t="s">
        <v>3185</v>
      </c>
      <c r="AM530" t="s">
        <v>1748</v>
      </c>
      <c r="AN530" t="s">
        <v>3186</v>
      </c>
      <c r="AO530" t="s">
        <v>3160</v>
      </c>
      <c r="AP530" t="s">
        <v>74</v>
      </c>
      <c r="AQ530" t="s">
        <v>74</v>
      </c>
      <c r="AR530" t="s">
        <v>3162</v>
      </c>
      <c r="AS530" t="s">
        <v>3163</v>
      </c>
      <c r="AT530" t="s">
        <v>7577</v>
      </c>
      <c r="AU530">
        <v>2003</v>
      </c>
      <c r="AV530">
        <v>35</v>
      </c>
      <c r="AW530">
        <v>2</v>
      </c>
      <c r="AX530" t="s">
        <v>74</v>
      </c>
      <c r="AY530" t="s">
        <v>74</v>
      </c>
      <c r="AZ530" t="s">
        <v>74</v>
      </c>
      <c r="BA530" t="s">
        <v>74</v>
      </c>
      <c r="BB530">
        <v>203</v>
      </c>
      <c r="BC530">
        <v>213</v>
      </c>
      <c r="BD530" t="s">
        <v>74</v>
      </c>
      <c r="BE530" t="s">
        <v>7790</v>
      </c>
      <c r="BF530" t="str">
        <f>HYPERLINK("http://dx.doi.org/10.1657/1523-0430(2003)035[0203:ELABDA]2.0.CO;2","http://dx.doi.org/10.1657/1523-0430(2003)035[0203:ELABDA]2.0.CO;2")</f>
        <v>http://dx.doi.org/10.1657/1523-0430(2003)035[0203:ELABDA]2.0.CO;2</v>
      </c>
      <c r="BG530" t="s">
        <v>74</v>
      </c>
      <c r="BH530" t="s">
        <v>74</v>
      </c>
      <c r="BI530">
        <v>11</v>
      </c>
      <c r="BJ530" t="s">
        <v>3165</v>
      </c>
      <c r="BK530" t="s">
        <v>94</v>
      </c>
      <c r="BL530" t="s">
        <v>3166</v>
      </c>
      <c r="BM530" t="s">
        <v>7707</v>
      </c>
      <c r="BN530" t="s">
        <v>74</v>
      </c>
      <c r="BO530" t="s">
        <v>2139</v>
      </c>
      <c r="BP530" t="s">
        <v>74</v>
      </c>
      <c r="BQ530" t="s">
        <v>74</v>
      </c>
      <c r="BR530" t="s">
        <v>97</v>
      </c>
      <c r="BS530" t="s">
        <v>7791</v>
      </c>
      <c r="BT530" t="str">
        <f>HYPERLINK("https%3A%2F%2Fwww.webofscience.com%2Fwos%2Fwoscc%2Ffull-record%2FWOS:000183952800009","View Full Record in Web of Science")</f>
        <v>View Full Record in Web of Science</v>
      </c>
    </row>
    <row r="531" spans="1:72" x14ac:dyDescent="0.15">
      <c r="A531" t="s">
        <v>72</v>
      </c>
      <c r="B531" t="s">
        <v>7792</v>
      </c>
      <c r="C531" t="s">
        <v>74</v>
      </c>
      <c r="D531" t="s">
        <v>74</v>
      </c>
      <c r="E531" t="s">
        <v>74</v>
      </c>
      <c r="F531" t="s">
        <v>7792</v>
      </c>
      <c r="G531" t="s">
        <v>74</v>
      </c>
      <c r="H531" t="s">
        <v>74</v>
      </c>
      <c r="I531" t="s">
        <v>7793</v>
      </c>
      <c r="J531" t="s">
        <v>3151</v>
      </c>
      <c r="K531" t="s">
        <v>74</v>
      </c>
      <c r="L531" t="s">
        <v>74</v>
      </c>
      <c r="M531" t="s">
        <v>77</v>
      </c>
      <c r="N531" t="s">
        <v>78</v>
      </c>
      <c r="O531" t="s">
        <v>74</v>
      </c>
      <c r="P531" t="s">
        <v>74</v>
      </c>
      <c r="Q531" t="s">
        <v>74</v>
      </c>
      <c r="R531" t="s">
        <v>74</v>
      </c>
      <c r="S531" t="s">
        <v>74</v>
      </c>
      <c r="T531" t="s">
        <v>74</v>
      </c>
      <c r="U531" t="s">
        <v>7794</v>
      </c>
      <c r="V531" t="s">
        <v>7795</v>
      </c>
      <c r="W531" t="s">
        <v>7796</v>
      </c>
      <c r="X531" t="s">
        <v>7797</v>
      </c>
      <c r="Y531" t="s">
        <v>7798</v>
      </c>
      <c r="Z531" t="s">
        <v>7799</v>
      </c>
      <c r="AA531" t="s">
        <v>74</v>
      </c>
      <c r="AB531" t="s">
        <v>74</v>
      </c>
      <c r="AC531" t="s">
        <v>74</v>
      </c>
      <c r="AD531" t="s">
        <v>74</v>
      </c>
      <c r="AE531" t="s">
        <v>74</v>
      </c>
      <c r="AF531" t="s">
        <v>74</v>
      </c>
      <c r="AG531">
        <v>24</v>
      </c>
      <c r="AH531">
        <v>35</v>
      </c>
      <c r="AI531">
        <v>38</v>
      </c>
      <c r="AJ531">
        <v>0</v>
      </c>
      <c r="AK531">
        <v>16</v>
      </c>
      <c r="AL531" t="s">
        <v>1651</v>
      </c>
      <c r="AM531" t="s">
        <v>1652</v>
      </c>
      <c r="AN531" t="s">
        <v>2361</v>
      </c>
      <c r="AO531" t="s">
        <v>3160</v>
      </c>
      <c r="AP531" t="s">
        <v>3161</v>
      </c>
      <c r="AQ531" t="s">
        <v>74</v>
      </c>
      <c r="AR531" t="s">
        <v>3162</v>
      </c>
      <c r="AS531" t="s">
        <v>3163</v>
      </c>
      <c r="AT531" t="s">
        <v>7577</v>
      </c>
      <c r="AU531">
        <v>2003</v>
      </c>
      <c r="AV531">
        <v>35</v>
      </c>
      <c r="AW531">
        <v>2</v>
      </c>
      <c r="AX531" t="s">
        <v>74</v>
      </c>
      <c r="AY531" t="s">
        <v>74</v>
      </c>
      <c r="AZ531" t="s">
        <v>74</v>
      </c>
      <c r="BA531" t="s">
        <v>74</v>
      </c>
      <c r="BB531">
        <v>214</v>
      </c>
      <c r="BC531">
        <v>217</v>
      </c>
      <c r="BD531" t="s">
        <v>74</v>
      </c>
      <c r="BE531" t="s">
        <v>7800</v>
      </c>
      <c r="BF531" t="str">
        <f>HYPERLINK("http://dx.doi.org/10.1657/1523-0430(2003)035[0214:POAHDA]2.0.CO;2","http://dx.doi.org/10.1657/1523-0430(2003)035[0214:POAHDA]2.0.CO;2")</f>
        <v>http://dx.doi.org/10.1657/1523-0430(2003)035[0214:POAHDA]2.0.CO;2</v>
      </c>
      <c r="BG531" t="s">
        <v>74</v>
      </c>
      <c r="BH531" t="s">
        <v>74</v>
      </c>
      <c r="BI531">
        <v>4</v>
      </c>
      <c r="BJ531" t="s">
        <v>3165</v>
      </c>
      <c r="BK531" t="s">
        <v>94</v>
      </c>
      <c r="BL531" t="s">
        <v>3166</v>
      </c>
      <c r="BM531" t="s">
        <v>7707</v>
      </c>
      <c r="BN531" t="s">
        <v>74</v>
      </c>
      <c r="BO531" t="s">
        <v>1619</v>
      </c>
      <c r="BP531" t="s">
        <v>74</v>
      </c>
      <c r="BQ531" t="s">
        <v>74</v>
      </c>
      <c r="BR531" t="s">
        <v>97</v>
      </c>
      <c r="BS531" t="s">
        <v>7801</v>
      </c>
      <c r="BT531" t="str">
        <f>HYPERLINK("https%3A%2F%2Fwww.webofscience.com%2Fwos%2Fwoscc%2Ffull-record%2FWOS:000183952800010","View Full Record in Web of Science")</f>
        <v>View Full Record in Web of Science</v>
      </c>
    </row>
    <row r="532" spans="1:72" x14ac:dyDescent="0.15">
      <c r="A532" t="s">
        <v>72</v>
      </c>
      <c r="B532" t="s">
        <v>7802</v>
      </c>
      <c r="C532" t="s">
        <v>74</v>
      </c>
      <c r="D532" t="s">
        <v>74</v>
      </c>
      <c r="E532" t="s">
        <v>74</v>
      </c>
      <c r="F532" t="s">
        <v>7802</v>
      </c>
      <c r="G532" t="s">
        <v>74</v>
      </c>
      <c r="H532" t="s">
        <v>74</v>
      </c>
      <c r="I532" t="s">
        <v>7803</v>
      </c>
      <c r="J532" t="s">
        <v>3151</v>
      </c>
      <c r="K532" t="s">
        <v>74</v>
      </c>
      <c r="L532" t="s">
        <v>74</v>
      </c>
      <c r="M532" t="s">
        <v>77</v>
      </c>
      <c r="N532" t="s">
        <v>78</v>
      </c>
      <c r="O532" t="s">
        <v>74</v>
      </c>
      <c r="P532" t="s">
        <v>74</v>
      </c>
      <c r="Q532" t="s">
        <v>74</v>
      </c>
      <c r="R532" t="s">
        <v>74</v>
      </c>
      <c r="S532" t="s">
        <v>74</v>
      </c>
      <c r="T532" t="s">
        <v>74</v>
      </c>
      <c r="U532" t="s">
        <v>7804</v>
      </c>
      <c r="V532" t="s">
        <v>7805</v>
      </c>
      <c r="W532" t="s">
        <v>7806</v>
      </c>
      <c r="X532" t="s">
        <v>7807</v>
      </c>
      <c r="Y532" t="s">
        <v>7808</v>
      </c>
      <c r="Z532" t="s">
        <v>7809</v>
      </c>
      <c r="AA532" t="s">
        <v>74</v>
      </c>
      <c r="AB532" t="s">
        <v>74</v>
      </c>
      <c r="AC532" t="s">
        <v>74</v>
      </c>
      <c r="AD532" t="s">
        <v>74</v>
      </c>
      <c r="AE532" t="s">
        <v>74</v>
      </c>
      <c r="AF532" t="s">
        <v>74</v>
      </c>
      <c r="AG532">
        <v>98</v>
      </c>
      <c r="AH532">
        <v>37</v>
      </c>
      <c r="AI532">
        <v>39</v>
      </c>
      <c r="AJ532">
        <v>0</v>
      </c>
      <c r="AK532">
        <v>12</v>
      </c>
      <c r="AL532" t="s">
        <v>1651</v>
      </c>
      <c r="AM532" t="s">
        <v>1652</v>
      </c>
      <c r="AN532" t="s">
        <v>2361</v>
      </c>
      <c r="AO532" t="s">
        <v>3160</v>
      </c>
      <c r="AP532" t="s">
        <v>3161</v>
      </c>
      <c r="AQ532" t="s">
        <v>74</v>
      </c>
      <c r="AR532" t="s">
        <v>3162</v>
      </c>
      <c r="AS532" t="s">
        <v>3163</v>
      </c>
      <c r="AT532" t="s">
        <v>7577</v>
      </c>
      <c r="AU532">
        <v>2003</v>
      </c>
      <c r="AV532">
        <v>35</v>
      </c>
      <c r="AW532">
        <v>2</v>
      </c>
      <c r="AX532" t="s">
        <v>74</v>
      </c>
      <c r="AY532" t="s">
        <v>74</v>
      </c>
      <c r="AZ532" t="s">
        <v>74</v>
      </c>
      <c r="BA532" t="s">
        <v>74</v>
      </c>
      <c r="BB532">
        <v>218</v>
      </c>
      <c r="BC532">
        <v>232</v>
      </c>
      <c r="BD532" t="s">
        <v>74</v>
      </c>
      <c r="BE532" t="s">
        <v>7810</v>
      </c>
      <c r="BF532" t="str">
        <f>HYPERLINK("http://dx.doi.org/10.1657/1523-0430(2003)035[0218:LQICEA]2.0.CO;2","http://dx.doi.org/10.1657/1523-0430(2003)035[0218:LQICEA]2.0.CO;2")</f>
        <v>http://dx.doi.org/10.1657/1523-0430(2003)035[0218:LQICEA]2.0.CO;2</v>
      </c>
      <c r="BG532" t="s">
        <v>74</v>
      </c>
      <c r="BH532" t="s">
        <v>74</v>
      </c>
      <c r="BI532">
        <v>15</v>
      </c>
      <c r="BJ532" t="s">
        <v>3165</v>
      </c>
      <c r="BK532" t="s">
        <v>94</v>
      </c>
      <c r="BL532" t="s">
        <v>3166</v>
      </c>
      <c r="BM532" t="s">
        <v>7707</v>
      </c>
      <c r="BN532" t="s">
        <v>74</v>
      </c>
      <c r="BO532" t="s">
        <v>74</v>
      </c>
      <c r="BP532" t="s">
        <v>74</v>
      </c>
      <c r="BQ532" t="s">
        <v>74</v>
      </c>
      <c r="BR532" t="s">
        <v>97</v>
      </c>
      <c r="BS532" t="s">
        <v>7811</v>
      </c>
      <c r="BT532" t="str">
        <f>HYPERLINK("https%3A%2F%2Fwww.webofscience.com%2Fwos%2Fwoscc%2Ffull-record%2FWOS:000183952800011","View Full Record in Web of Science")</f>
        <v>View Full Record in Web of Science</v>
      </c>
    </row>
    <row r="533" spans="1:72" x14ac:dyDescent="0.15">
      <c r="A533" t="s">
        <v>72</v>
      </c>
      <c r="B533" t="s">
        <v>7812</v>
      </c>
      <c r="C533" t="s">
        <v>74</v>
      </c>
      <c r="D533" t="s">
        <v>74</v>
      </c>
      <c r="E533" t="s">
        <v>74</v>
      </c>
      <c r="F533" t="s">
        <v>7812</v>
      </c>
      <c r="G533" t="s">
        <v>74</v>
      </c>
      <c r="H533" t="s">
        <v>74</v>
      </c>
      <c r="I533" t="s">
        <v>7813</v>
      </c>
      <c r="J533" t="s">
        <v>3151</v>
      </c>
      <c r="K533" t="s">
        <v>74</v>
      </c>
      <c r="L533" t="s">
        <v>74</v>
      </c>
      <c r="M533" t="s">
        <v>77</v>
      </c>
      <c r="N533" t="s">
        <v>78</v>
      </c>
      <c r="O533" t="s">
        <v>74</v>
      </c>
      <c r="P533" t="s">
        <v>74</v>
      </c>
      <c r="Q533" t="s">
        <v>74</v>
      </c>
      <c r="R533" t="s">
        <v>74</v>
      </c>
      <c r="S533" t="s">
        <v>74</v>
      </c>
      <c r="T533" t="s">
        <v>74</v>
      </c>
      <c r="U533" t="s">
        <v>7814</v>
      </c>
      <c r="V533" t="s">
        <v>7815</v>
      </c>
      <c r="W533" t="s">
        <v>7816</v>
      </c>
      <c r="X533" t="s">
        <v>7817</v>
      </c>
      <c r="Y533" t="s">
        <v>7818</v>
      </c>
      <c r="Z533" t="s">
        <v>74</v>
      </c>
      <c r="AA533" t="s">
        <v>74</v>
      </c>
      <c r="AB533" t="s">
        <v>74</v>
      </c>
      <c r="AC533" t="s">
        <v>74</v>
      </c>
      <c r="AD533" t="s">
        <v>74</v>
      </c>
      <c r="AE533" t="s">
        <v>74</v>
      </c>
      <c r="AF533" t="s">
        <v>74</v>
      </c>
      <c r="AG533">
        <v>42</v>
      </c>
      <c r="AH533">
        <v>12</v>
      </c>
      <c r="AI533">
        <v>17</v>
      </c>
      <c r="AJ533">
        <v>2</v>
      </c>
      <c r="AK533">
        <v>9</v>
      </c>
      <c r="AL533" t="s">
        <v>3185</v>
      </c>
      <c r="AM533" t="s">
        <v>1748</v>
      </c>
      <c r="AN533" t="s">
        <v>3186</v>
      </c>
      <c r="AO533" t="s">
        <v>3160</v>
      </c>
      <c r="AP533" t="s">
        <v>74</v>
      </c>
      <c r="AQ533" t="s">
        <v>74</v>
      </c>
      <c r="AR533" t="s">
        <v>3162</v>
      </c>
      <c r="AS533" t="s">
        <v>3163</v>
      </c>
      <c r="AT533" t="s">
        <v>7577</v>
      </c>
      <c r="AU533">
        <v>2003</v>
      </c>
      <c r="AV533">
        <v>35</v>
      </c>
      <c r="AW533">
        <v>2</v>
      </c>
      <c r="AX533" t="s">
        <v>74</v>
      </c>
      <c r="AY533" t="s">
        <v>74</v>
      </c>
      <c r="AZ533" t="s">
        <v>74</v>
      </c>
      <c r="BA533" t="s">
        <v>74</v>
      </c>
      <c r="BB533">
        <v>233</v>
      </c>
      <c r="BC533">
        <v>241</v>
      </c>
      <c r="BD533" t="s">
        <v>74</v>
      </c>
      <c r="BE533" t="s">
        <v>7819</v>
      </c>
      <c r="BF533" t="str">
        <f>HYPERLINK("http://dx.doi.org/10.1657/1523-0430(2003)035[0233:CPCOTY]2.0.CO;2","http://dx.doi.org/10.1657/1523-0430(2003)035[0233:CPCOTY]2.0.CO;2")</f>
        <v>http://dx.doi.org/10.1657/1523-0430(2003)035[0233:CPCOTY]2.0.CO;2</v>
      </c>
      <c r="BG533" t="s">
        <v>74</v>
      </c>
      <c r="BH533" t="s">
        <v>74</v>
      </c>
      <c r="BI533">
        <v>9</v>
      </c>
      <c r="BJ533" t="s">
        <v>3165</v>
      </c>
      <c r="BK533" t="s">
        <v>94</v>
      </c>
      <c r="BL533" t="s">
        <v>3166</v>
      </c>
      <c r="BM533" t="s">
        <v>7707</v>
      </c>
      <c r="BN533" t="s">
        <v>74</v>
      </c>
      <c r="BO533" t="s">
        <v>1767</v>
      </c>
      <c r="BP533" t="s">
        <v>74</v>
      </c>
      <c r="BQ533" t="s">
        <v>74</v>
      </c>
      <c r="BR533" t="s">
        <v>97</v>
      </c>
      <c r="BS533" t="s">
        <v>7820</v>
      </c>
      <c r="BT533" t="str">
        <f>HYPERLINK("https%3A%2F%2Fwww.webofscience.com%2Fwos%2Fwoscc%2Ffull-record%2FWOS:000183952800012","View Full Record in Web of Science")</f>
        <v>View Full Record in Web of Science</v>
      </c>
    </row>
    <row r="534" spans="1:72" x14ac:dyDescent="0.15">
      <c r="A534" t="s">
        <v>72</v>
      </c>
      <c r="B534" t="s">
        <v>7821</v>
      </c>
      <c r="C534" t="s">
        <v>74</v>
      </c>
      <c r="D534" t="s">
        <v>74</v>
      </c>
      <c r="E534" t="s">
        <v>74</v>
      </c>
      <c r="F534" t="s">
        <v>7821</v>
      </c>
      <c r="G534" t="s">
        <v>74</v>
      </c>
      <c r="H534" t="s">
        <v>74</v>
      </c>
      <c r="I534" t="s">
        <v>7822</v>
      </c>
      <c r="J534" t="s">
        <v>3151</v>
      </c>
      <c r="K534" t="s">
        <v>74</v>
      </c>
      <c r="L534" t="s">
        <v>74</v>
      </c>
      <c r="M534" t="s">
        <v>77</v>
      </c>
      <c r="N534" t="s">
        <v>78</v>
      </c>
      <c r="O534" t="s">
        <v>74</v>
      </c>
      <c r="P534" t="s">
        <v>74</v>
      </c>
      <c r="Q534" t="s">
        <v>74</v>
      </c>
      <c r="R534" t="s">
        <v>74</v>
      </c>
      <c r="S534" t="s">
        <v>74</v>
      </c>
      <c r="T534" t="s">
        <v>74</v>
      </c>
      <c r="U534" t="s">
        <v>7823</v>
      </c>
      <c r="V534" t="s">
        <v>7824</v>
      </c>
      <c r="W534" t="s">
        <v>7825</v>
      </c>
      <c r="X534" t="s">
        <v>7826</v>
      </c>
      <c r="Y534" t="s">
        <v>7827</v>
      </c>
      <c r="Z534" t="s">
        <v>7828</v>
      </c>
      <c r="AA534" t="s">
        <v>74</v>
      </c>
      <c r="AB534" t="s">
        <v>74</v>
      </c>
      <c r="AC534" t="s">
        <v>74</v>
      </c>
      <c r="AD534" t="s">
        <v>74</v>
      </c>
      <c r="AE534" t="s">
        <v>74</v>
      </c>
      <c r="AF534" t="s">
        <v>74</v>
      </c>
      <c r="AG534">
        <v>42</v>
      </c>
      <c r="AH534">
        <v>34</v>
      </c>
      <c r="AI534">
        <v>41</v>
      </c>
      <c r="AJ534">
        <v>0</v>
      </c>
      <c r="AK534">
        <v>47</v>
      </c>
      <c r="AL534" t="s">
        <v>1651</v>
      </c>
      <c r="AM534" t="s">
        <v>1652</v>
      </c>
      <c r="AN534" t="s">
        <v>2361</v>
      </c>
      <c r="AO534" t="s">
        <v>3160</v>
      </c>
      <c r="AP534" t="s">
        <v>3161</v>
      </c>
      <c r="AQ534" t="s">
        <v>74</v>
      </c>
      <c r="AR534" t="s">
        <v>3162</v>
      </c>
      <c r="AS534" t="s">
        <v>3163</v>
      </c>
      <c r="AT534" t="s">
        <v>7577</v>
      </c>
      <c r="AU534">
        <v>2003</v>
      </c>
      <c r="AV534">
        <v>35</v>
      </c>
      <c r="AW534">
        <v>2</v>
      </c>
      <c r="AX534" t="s">
        <v>74</v>
      </c>
      <c r="AY534" t="s">
        <v>74</v>
      </c>
      <c r="AZ534" t="s">
        <v>74</v>
      </c>
      <c r="BA534" t="s">
        <v>74</v>
      </c>
      <c r="BB534">
        <v>242</v>
      </c>
      <c r="BC534">
        <v>247</v>
      </c>
      <c r="BD534" t="s">
        <v>74</v>
      </c>
      <c r="BE534" t="s">
        <v>7829</v>
      </c>
      <c r="BF534" t="str">
        <f>HYPERLINK("http://dx.doi.org/10.1657/1523-0430(2003)035[0242:BSIFVA]2.0.CO;2","http://dx.doi.org/10.1657/1523-0430(2003)035[0242:BSIFVA]2.0.CO;2")</f>
        <v>http://dx.doi.org/10.1657/1523-0430(2003)035[0242:BSIFVA]2.0.CO;2</v>
      </c>
      <c r="BG534" t="s">
        <v>74</v>
      </c>
      <c r="BH534" t="s">
        <v>74</v>
      </c>
      <c r="BI534">
        <v>6</v>
      </c>
      <c r="BJ534" t="s">
        <v>3165</v>
      </c>
      <c r="BK534" t="s">
        <v>94</v>
      </c>
      <c r="BL534" t="s">
        <v>3166</v>
      </c>
      <c r="BM534" t="s">
        <v>7707</v>
      </c>
      <c r="BN534" t="s">
        <v>74</v>
      </c>
      <c r="BO534" t="s">
        <v>3263</v>
      </c>
      <c r="BP534" t="s">
        <v>74</v>
      </c>
      <c r="BQ534" t="s">
        <v>74</v>
      </c>
      <c r="BR534" t="s">
        <v>97</v>
      </c>
      <c r="BS534" t="s">
        <v>7830</v>
      </c>
      <c r="BT534" t="str">
        <f>HYPERLINK("https%3A%2F%2Fwww.webofscience.com%2Fwos%2Fwoscc%2Ffull-record%2FWOS:000183952800013","View Full Record in Web of Science")</f>
        <v>View Full Record in Web of Science</v>
      </c>
    </row>
    <row r="535" spans="1:72" x14ac:dyDescent="0.15">
      <c r="A535" t="s">
        <v>72</v>
      </c>
      <c r="B535" t="s">
        <v>7831</v>
      </c>
      <c r="C535" t="s">
        <v>74</v>
      </c>
      <c r="D535" t="s">
        <v>74</v>
      </c>
      <c r="E535" t="s">
        <v>74</v>
      </c>
      <c r="F535" t="s">
        <v>7831</v>
      </c>
      <c r="G535" t="s">
        <v>74</v>
      </c>
      <c r="H535" t="s">
        <v>74</v>
      </c>
      <c r="I535" t="s">
        <v>7832</v>
      </c>
      <c r="J535" t="s">
        <v>3151</v>
      </c>
      <c r="K535" t="s">
        <v>74</v>
      </c>
      <c r="L535" t="s">
        <v>74</v>
      </c>
      <c r="M535" t="s">
        <v>77</v>
      </c>
      <c r="N535" t="s">
        <v>78</v>
      </c>
      <c r="O535" t="s">
        <v>74</v>
      </c>
      <c r="P535" t="s">
        <v>74</v>
      </c>
      <c r="Q535" t="s">
        <v>74</v>
      </c>
      <c r="R535" t="s">
        <v>74</v>
      </c>
      <c r="S535" t="s">
        <v>74</v>
      </c>
      <c r="T535" t="s">
        <v>74</v>
      </c>
      <c r="U535" t="s">
        <v>7833</v>
      </c>
      <c r="V535" t="s">
        <v>7834</v>
      </c>
      <c r="W535" t="s">
        <v>7835</v>
      </c>
      <c r="X535" t="s">
        <v>7836</v>
      </c>
      <c r="Y535" t="s">
        <v>7837</v>
      </c>
      <c r="Z535" t="s">
        <v>7838</v>
      </c>
      <c r="AA535" t="s">
        <v>7839</v>
      </c>
      <c r="AB535" t="s">
        <v>74</v>
      </c>
      <c r="AC535" t="s">
        <v>74</v>
      </c>
      <c r="AD535" t="s">
        <v>74</v>
      </c>
      <c r="AE535" t="s">
        <v>74</v>
      </c>
      <c r="AF535" t="s">
        <v>74</v>
      </c>
      <c r="AG535">
        <v>59</v>
      </c>
      <c r="AH535">
        <v>88</v>
      </c>
      <c r="AI535">
        <v>100</v>
      </c>
      <c r="AJ535">
        <v>1</v>
      </c>
      <c r="AK535">
        <v>76</v>
      </c>
      <c r="AL535" t="s">
        <v>3185</v>
      </c>
      <c r="AM535" t="s">
        <v>1748</v>
      </c>
      <c r="AN535" t="s">
        <v>3186</v>
      </c>
      <c r="AO535" t="s">
        <v>3160</v>
      </c>
      <c r="AP535" t="s">
        <v>3161</v>
      </c>
      <c r="AQ535" t="s">
        <v>74</v>
      </c>
      <c r="AR535" t="s">
        <v>3162</v>
      </c>
      <c r="AS535" t="s">
        <v>3163</v>
      </c>
      <c r="AT535" t="s">
        <v>7577</v>
      </c>
      <c r="AU535">
        <v>2003</v>
      </c>
      <c r="AV535">
        <v>35</v>
      </c>
      <c r="AW535">
        <v>2</v>
      </c>
      <c r="AX535" t="s">
        <v>74</v>
      </c>
      <c r="AY535" t="s">
        <v>74</v>
      </c>
      <c r="AZ535" t="s">
        <v>74</v>
      </c>
      <c r="BA535" t="s">
        <v>74</v>
      </c>
      <c r="BB535">
        <v>248</v>
      </c>
      <c r="BC535">
        <v>254</v>
      </c>
      <c r="BD535" t="s">
        <v>74</v>
      </c>
      <c r="BE535" t="s">
        <v>7840</v>
      </c>
      <c r="BF535" t="str">
        <f>HYPERLINK("http://dx.doi.org/10.1657/1523-0430(2003)035[0248:CEOAPB]2.0.CO;2","http://dx.doi.org/10.1657/1523-0430(2003)035[0248:CEOAPB]2.0.CO;2")</f>
        <v>http://dx.doi.org/10.1657/1523-0430(2003)035[0248:CEOAPB]2.0.CO;2</v>
      </c>
      <c r="BG535" t="s">
        <v>74</v>
      </c>
      <c r="BH535" t="s">
        <v>74</v>
      </c>
      <c r="BI535">
        <v>7</v>
      </c>
      <c r="BJ535" t="s">
        <v>3165</v>
      </c>
      <c r="BK535" t="s">
        <v>94</v>
      </c>
      <c r="BL535" t="s">
        <v>3166</v>
      </c>
      <c r="BM535" t="s">
        <v>7707</v>
      </c>
      <c r="BN535" t="s">
        <v>74</v>
      </c>
      <c r="BO535" t="s">
        <v>1767</v>
      </c>
      <c r="BP535" t="s">
        <v>74</v>
      </c>
      <c r="BQ535" t="s">
        <v>74</v>
      </c>
      <c r="BR535" t="s">
        <v>97</v>
      </c>
      <c r="BS535" t="s">
        <v>7841</v>
      </c>
      <c r="BT535" t="str">
        <f>HYPERLINK("https%3A%2F%2Fwww.webofscience.com%2Fwos%2Fwoscc%2Ffull-record%2FWOS:000183952800014","View Full Record in Web of Science")</f>
        <v>View Full Record in Web of Science</v>
      </c>
    </row>
    <row r="536" spans="1:72" x14ac:dyDescent="0.15">
      <c r="A536" t="s">
        <v>72</v>
      </c>
      <c r="B536" t="s">
        <v>7842</v>
      </c>
      <c r="C536" t="s">
        <v>74</v>
      </c>
      <c r="D536" t="s">
        <v>74</v>
      </c>
      <c r="E536" t="s">
        <v>74</v>
      </c>
      <c r="F536" t="s">
        <v>7842</v>
      </c>
      <c r="G536" t="s">
        <v>74</v>
      </c>
      <c r="H536" t="s">
        <v>74</v>
      </c>
      <c r="I536" t="s">
        <v>7843</v>
      </c>
      <c r="J536" t="s">
        <v>3151</v>
      </c>
      <c r="K536" t="s">
        <v>74</v>
      </c>
      <c r="L536" t="s">
        <v>74</v>
      </c>
      <c r="M536" t="s">
        <v>77</v>
      </c>
      <c r="N536" t="s">
        <v>78</v>
      </c>
      <c r="O536" t="s">
        <v>74</v>
      </c>
      <c r="P536" t="s">
        <v>74</v>
      </c>
      <c r="Q536" t="s">
        <v>74</v>
      </c>
      <c r="R536" t="s">
        <v>74</v>
      </c>
      <c r="S536" t="s">
        <v>74</v>
      </c>
      <c r="T536" t="s">
        <v>74</v>
      </c>
      <c r="U536" t="s">
        <v>74</v>
      </c>
      <c r="V536" t="s">
        <v>7844</v>
      </c>
      <c r="W536" t="s">
        <v>7845</v>
      </c>
      <c r="X536" t="s">
        <v>7846</v>
      </c>
      <c r="Y536" t="s">
        <v>7847</v>
      </c>
      <c r="Z536" t="s">
        <v>7848</v>
      </c>
      <c r="AA536" t="s">
        <v>7849</v>
      </c>
      <c r="AB536" t="s">
        <v>7850</v>
      </c>
      <c r="AC536" t="s">
        <v>74</v>
      </c>
      <c r="AD536" t="s">
        <v>74</v>
      </c>
      <c r="AE536" t="s">
        <v>74</v>
      </c>
      <c r="AF536" t="s">
        <v>74</v>
      </c>
      <c r="AG536">
        <v>35</v>
      </c>
      <c r="AH536">
        <v>17</v>
      </c>
      <c r="AI536">
        <v>18</v>
      </c>
      <c r="AJ536">
        <v>0</v>
      </c>
      <c r="AK536">
        <v>8</v>
      </c>
      <c r="AL536" t="s">
        <v>1651</v>
      </c>
      <c r="AM536" t="s">
        <v>1652</v>
      </c>
      <c r="AN536" t="s">
        <v>2361</v>
      </c>
      <c r="AO536" t="s">
        <v>3160</v>
      </c>
      <c r="AP536" t="s">
        <v>3161</v>
      </c>
      <c r="AQ536" t="s">
        <v>74</v>
      </c>
      <c r="AR536" t="s">
        <v>3162</v>
      </c>
      <c r="AS536" t="s">
        <v>3163</v>
      </c>
      <c r="AT536" t="s">
        <v>7577</v>
      </c>
      <c r="AU536">
        <v>2003</v>
      </c>
      <c r="AV536">
        <v>35</v>
      </c>
      <c r="AW536">
        <v>2</v>
      </c>
      <c r="AX536" t="s">
        <v>74</v>
      </c>
      <c r="AY536" t="s">
        <v>74</v>
      </c>
      <c r="AZ536" t="s">
        <v>74</v>
      </c>
      <c r="BA536" t="s">
        <v>74</v>
      </c>
      <c r="BB536">
        <v>255</v>
      </c>
      <c r="BC536">
        <v>263</v>
      </c>
      <c r="BD536" t="s">
        <v>74</v>
      </c>
      <c r="BE536" t="s">
        <v>7851</v>
      </c>
      <c r="BF536" t="str">
        <f>HYPERLINK("http://dx.doi.org/10.1657/1523-0430(2003)035[0255:BGMRIA]2.0.CO;2","http://dx.doi.org/10.1657/1523-0430(2003)035[0255:BGMRIA]2.0.CO;2")</f>
        <v>http://dx.doi.org/10.1657/1523-0430(2003)035[0255:BGMRIA]2.0.CO;2</v>
      </c>
      <c r="BG536" t="s">
        <v>74</v>
      </c>
      <c r="BH536" t="s">
        <v>74</v>
      </c>
      <c r="BI536">
        <v>9</v>
      </c>
      <c r="BJ536" t="s">
        <v>3165</v>
      </c>
      <c r="BK536" t="s">
        <v>94</v>
      </c>
      <c r="BL536" t="s">
        <v>3166</v>
      </c>
      <c r="BM536" t="s">
        <v>7707</v>
      </c>
      <c r="BN536" t="s">
        <v>74</v>
      </c>
      <c r="BO536" t="s">
        <v>1767</v>
      </c>
      <c r="BP536" t="s">
        <v>74</v>
      </c>
      <c r="BQ536" t="s">
        <v>74</v>
      </c>
      <c r="BR536" t="s">
        <v>97</v>
      </c>
      <c r="BS536" t="s">
        <v>7852</v>
      </c>
      <c r="BT536" t="str">
        <f>HYPERLINK("https%3A%2F%2Fwww.webofscience.com%2Fwos%2Fwoscc%2Ffull-record%2FWOS:000183952800015","View Full Record in Web of Science")</f>
        <v>View Full Record in Web of Science</v>
      </c>
    </row>
    <row r="537" spans="1:72" x14ac:dyDescent="0.15">
      <c r="A537" t="s">
        <v>72</v>
      </c>
      <c r="B537" t="s">
        <v>7853</v>
      </c>
      <c r="C537" t="s">
        <v>74</v>
      </c>
      <c r="D537" t="s">
        <v>74</v>
      </c>
      <c r="E537" t="s">
        <v>74</v>
      </c>
      <c r="F537" t="s">
        <v>7853</v>
      </c>
      <c r="G537" t="s">
        <v>74</v>
      </c>
      <c r="H537" t="s">
        <v>74</v>
      </c>
      <c r="I537" t="s">
        <v>7854</v>
      </c>
      <c r="J537" t="s">
        <v>3151</v>
      </c>
      <c r="K537" t="s">
        <v>74</v>
      </c>
      <c r="L537" t="s">
        <v>74</v>
      </c>
      <c r="M537" t="s">
        <v>77</v>
      </c>
      <c r="N537" t="s">
        <v>78</v>
      </c>
      <c r="O537" t="s">
        <v>74</v>
      </c>
      <c r="P537" t="s">
        <v>74</v>
      </c>
      <c r="Q537" t="s">
        <v>74</v>
      </c>
      <c r="R537" t="s">
        <v>74</v>
      </c>
      <c r="S537" t="s">
        <v>74</v>
      </c>
      <c r="T537" t="s">
        <v>74</v>
      </c>
      <c r="U537" t="s">
        <v>7855</v>
      </c>
      <c r="V537" t="s">
        <v>7856</v>
      </c>
      <c r="W537" t="s">
        <v>7857</v>
      </c>
      <c r="X537" t="s">
        <v>7858</v>
      </c>
      <c r="Y537" t="s">
        <v>7859</v>
      </c>
      <c r="Z537" t="s">
        <v>74</v>
      </c>
      <c r="AA537" t="s">
        <v>74</v>
      </c>
      <c r="AB537" t="s">
        <v>7860</v>
      </c>
      <c r="AC537" t="s">
        <v>74</v>
      </c>
      <c r="AD537" t="s">
        <v>74</v>
      </c>
      <c r="AE537" t="s">
        <v>74</v>
      </c>
      <c r="AF537" t="s">
        <v>74</v>
      </c>
      <c r="AG537">
        <v>35</v>
      </c>
      <c r="AH537">
        <v>137</v>
      </c>
      <c r="AI537">
        <v>147</v>
      </c>
      <c r="AJ537">
        <v>0</v>
      </c>
      <c r="AK537">
        <v>31</v>
      </c>
      <c r="AL537" t="s">
        <v>3185</v>
      </c>
      <c r="AM537" t="s">
        <v>1748</v>
      </c>
      <c r="AN537" t="s">
        <v>3186</v>
      </c>
      <c r="AO537" t="s">
        <v>3160</v>
      </c>
      <c r="AP537" t="s">
        <v>74</v>
      </c>
      <c r="AQ537" t="s">
        <v>74</v>
      </c>
      <c r="AR537" t="s">
        <v>3162</v>
      </c>
      <c r="AS537" t="s">
        <v>3163</v>
      </c>
      <c r="AT537" t="s">
        <v>7577</v>
      </c>
      <c r="AU537">
        <v>2003</v>
      </c>
      <c r="AV537">
        <v>35</v>
      </c>
      <c r="AW537">
        <v>2</v>
      </c>
      <c r="AX537" t="s">
        <v>74</v>
      </c>
      <c r="AY537" t="s">
        <v>74</v>
      </c>
      <c r="AZ537" t="s">
        <v>74</v>
      </c>
      <c r="BA537" t="s">
        <v>74</v>
      </c>
      <c r="BB537">
        <v>264</v>
      </c>
      <c r="BC537">
        <v>270</v>
      </c>
      <c r="BD537" t="s">
        <v>74</v>
      </c>
      <c r="BE537" t="s">
        <v>7861</v>
      </c>
      <c r="BF537" t="str">
        <f>HYPERLINK("http://dx.doi.org/10.1657/1523-0430(2003)035[0264:OTNMBO]2.0.CO;2","http://dx.doi.org/10.1657/1523-0430(2003)035[0264:OTNMBO]2.0.CO;2")</f>
        <v>http://dx.doi.org/10.1657/1523-0430(2003)035[0264:OTNMBO]2.0.CO;2</v>
      </c>
      <c r="BG537" t="s">
        <v>74</v>
      </c>
      <c r="BH537" t="s">
        <v>74</v>
      </c>
      <c r="BI537">
        <v>7</v>
      </c>
      <c r="BJ537" t="s">
        <v>3165</v>
      </c>
      <c r="BK537" t="s">
        <v>94</v>
      </c>
      <c r="BL537" t="s">
        <v>3166</v>
      </c>
      <c r="BM537" t="s">
        <v>7707</v>
      </c>
      <c r="BN537" t="s">
        <v>74</v>
      </c>
      <c r="BO537" t="s">
        <v>74</v>
      </c>
      <c r="BP537" t="s">
        <v>74</v>
      </c>
      <c r="BQ537" t="s">
        <v>74</v>
      </c>
      <c r="BR537" t="s">
        <v>97</v>
      </c>
      <c r="BS537" t="s">
        <v>7862</v>
      </c>
      <c r="BT537" t="str">
        <f>HYPERLINK("https%3A%2F%2Fwww.webofscience.com%2Fwos%2Fwoscc%2Ffull-record%2FWOS:000183952800016","View Full Record in Web of Science")</f>
        <v>View Full Record in Web of Science</v>
      </c>
    </row>
    <row r="538" spans="1:72" x14ac:dyDescent="0.15">
      <c r="A538" t="s">
        <v>72</v>
      </c>
      <c r="B538" t="s">
        <v>7863</v>
      </c>
      <c r="C538" t="s">
        <v>74</v>
      </c>
      <c r="D538" t="s">
        <v>74</v>
      </c>
      <c r="E538" t="s">
        <v>74</v>
      </c>
      <c r="F538" t="s">
        <v>7863</v>
      </c>
      <c r="G538" t="s">
        <v>74</v>
      </c>
      <c r="H538" t="s">
        <v>74</v>
      </c>
      <c r="I538" t="s">
        <v>7864</v>
      </c>
      <c r="J538" t="s">
        <v>7865</v>
      </c>
      <c r="K538" t="s">
        <v>74</v>
      </c>
      <c r="L538" t="s">
        <v>74</v>
      </c>
      <c r="M538" t="s">
        <v>77</v>
      </c>
      <c r="N538" t="s">
        <v>556</v>
      </c>
      <c r="O538" t="s">
        <v>74</v>
      </c>
      <c r="P538" t="s">
        <v>74</v>
      </c>
      <c r="Q538" t="s">
        <v>74</v>
      </c>
      <c r="R538" t="s">
        <v>74</v>
      </c>
      <c r="S538" t="s">
        <v>74</v>
      </c>
      <c r="T538" t="s">
        <v>7866</v>
      </c>
      <c r="U538" t="s">
        <v>7867</v>
      </c>
      <c r="V538" t="s">
        <v>7868</v>
      </c>
      <c r="W538" t="s">
        <v>7869</v>
      </c>
      <c r="X538" t="s">
        <v>7870</v>
      </c>
      <c r="Y538" t="s">
        <v>7871</v>
      </c>
      <c r="Z538" t="s">
        <v>7872</v>
      </c>
      <c r="AA538" t="s">
        <v>7873</v>
      </c>
      <c r="AB538" t="s">
        <v>7874</v>
      </c>
      <c r="AC538" t="s">
        <v>74</v>
      </c>
      <c r="AD538" t="s">
        <v>74</v>
      </c>
      <c r="AE538" t="s">
        <v>74</v>
      </c>
      <c r="AF538" t="s">
        <v>74</v>
      </c>
      <c r="AG538">
        <v>142</v>
      </c>
      <c r="AH538">
        <v>167</v>
      </c>
      <c r="AI538">
        <v>195</v>
      </c>
      <c r="AJ538">
        <v>7</v>
      </c>
      <c r="AK538">
        <v>97</v>
      </c>
      <c r="AL538" t="s">
        <v>250</v>
      </c>
      <c r="AM538" t="s">
        <v>251</v>
      </c>
      <c r="AN538" t="s">
        <v>252</v>
      </c>
      <c r="AO538" t="s">
        <v>7875</v>
      </c>
      <c r="AP538" t="s">
        <v>7876</v>
      </c>
      <c r="AQ538" t="s">
        <v>74</v>
      </c>
      <c r="AR538" t="s">
        <v>7877</v>
      </c>
      <c r="AS538" t="s">
        <v>7878</v>
      </c>
      <c r="AT538" t="s">
        <v>7577</v>
      </c>
      <c r="AU538">
        <v>2003</v>
      </c>
      <c r="AV538">
        <v>78</v>
      </c>
      <c r="AW538">
        <v>2</v>
      </c>
      <c r="AX538" t="s">
        <v>74</v>
      </c>
      <c r="AY538" t="s">
        <v>74</v>
      </c>
      <c r="AZ538" t="s">
        <v>74</v>
      </c>
      <c r="BA538" t="s">
        <v>74</v>
      </c>
      <c r="BB538">
        <v>181</v>
      </c>
      <c r="BC538">
        <v>195</v>
      </c>
      <c r="BD538" t="s">
        <v>74</v>
      </c>
      <c r="BE538" t="s">
        <v>7879</v>
      </c>
      <c r="BF538" t="str">
        <f>HYPERLINK("http://dx.doi.org/10.1017/S1464793102006024","http://dx.doi.org/10.1017/S1464793102006024")</f>
        <v>http://dx.doi.org/10.1017/S1464793102006024</v>
      </c>
      <c r="BG538" t="s">
        <v>74</v>
      </c>
      <c r="BH538" t="s">
        <v>74</v>
      </c>
      <c r="BI538">
        <v>15</v>
      </c>
      <c r="BJ538" t="s">
        <v>138</v>
      </c>
      <c r="BK538" t="s">
        <v>94</v>
      </c>
      <c r="BL538" t="s">
        <v>139</v>
      </c>
      <c r="BM538" t="s">
        <v>7880</v>
      </c>
      <c r="BN538">
        <v>12803420</v>
      </c>
      <c r="BO538" t="s">
        <v>74</v>
      </c>
      <c r="BP538" t="s">
        <v>74</v>
      </c>
      <c r="BQ538" t="s">
        <v>74</v>
      </c>
      <c r="BR538" t="s">
        <v>97</v>
      </c>
      <c r="BS538" t="s">
        <v>7881</v>
      </c>
      <c r="BT538" t="str">
        <f>HYPERLINK("https%3A%2F%2Fwww.webofscience.com%2Fwos%2Fwoscc%2Ffull-record%2FWOS:000183678300002","View Full Record in Web of Science")</f>
        <v>View Full Record in Web of Science</v>
      </c>
    </row>
    <row r="539" spans="1:72" x14ac:dyDescent="0.15">
      <c r="A539" t="s">
        <v>72</v>
      </c>
      <c r="B539" t="s">
        <v>7882</v>
      </c>
      <c r="C539" t="s">
        <v>74</v>
      </c>
      <c r="D539" t="s">
        <v>74</v>
      </c>
      <c r="E539" t="s">
        <v>74</v>
      </c>
      <c r="F539" t="s">
        <v>7882</v>
      </c>
      <c r="G539" t="s">
        <v>74</v>
      </c>
      <c r="H539" t="s">
        <v>74</v>
      </c>
      <c r="I539" t="s">
        <v>7883</v>
      </c>
      <c r="J539" t="s">
        <v>7884</v>
      </c>
      <c r="K539" t="s">
        <v>74</v>
      </c>
      <c r="L539" t="s">
        <v>74</v>
      </c>
      <c r="M539" t="s">
        <v>77</v>
      </c>
      <c r="N539" t="s">
        <v>78</v>
      </c>
      <c r="O539" t="s">
        <v>74</v>
      </c>
      <c r="P539" t="s">
        <v>74</v>
      </c>
      <c r="Q539" t="s">
        <v>74</v>
      </c>
      <c r="R539" t="s">
        <v>74</v>
      </c>
      <c r="S539" t="s">
        <v>74</v>
      </c>
      <c r="T539" t="s">
        <v>74</v>
      </c>
      <c r="U539" t="s">
        <v>7885</v>
      </c>
      <c r="V539" t="s">
        <v>7886</v>
      </c>
      <c r="W539" t="s">
        <v>7887</v>
      </c>
      <c r="X539" t="s">
        <v>7888</v>
      </c>
      <c r="Y539" t="s">
        <v>7889</v>
      </c>
      <c r="Z539" t="s">
        <v>74</v>
      </c>
      <c r="AA539" t="s">
        <v>7890</v>
      </c>
      <c r="AB539" t="s">
        <v>7891</v>
      </c>
      <c r="AC539" t="s">
        <v>74</v>
      </c>
      <c r="AD539" t="s">
        <v>74</v>
      </c>
      <c r="AE539" t="s">
        <v>74</v>
      </c>
      <c r="AF539" t="s">
        <v>74</v>
      </c>
      <c r="AG539">
        <v>51</v>
      </c>
      <c r="AH539">
        <v>29</v>
      </c>
      <c r="AI539">
        <v>34</v>
      </c>
      <c r="AJ539">
        <v>0</v>
      </c>
      <c r="AK539">
        <v>19</v>
      </c>
      <c r="AL539" t="s">
        <v>7892</v>
      </c>
      <c r="AM539" t="s">
        <v>7893</v>
      </c>
      <c r="AN539" t="s">
        <v>7894</v>
      </c>
      <c r="AO539" t="s">
        <v>7895</v>
      </c>
      <c r="AP539" t="s">
        <v>74</v>
      </c>
      <c r="AQ539" t="s">
        <v>74</v>
      </c>
      <c r="AR539" t="s">
        <v>7896</v>
      </c>
      <c r="AS539" t="s">
        <v>7897</v>
      </c>
      <c r="AT539" t="s">
        <v>7577</v>
      </c>
      <c r="AU539">
        <v>2003</v>
      </c>
      <c r="AV539">
        <v>46</v>
      </c>
      <c r="AW539">
        <v>3</v>
      </c>
      <c r="AX539" t="s">
        <v>74</v>
      </c>
      <c r="AY539" t="s">
        <v>74</v>
      </c>
      <c r="AZ539" t="s">
        <v>74</v>
      </c>
      <c r="BA539" t="s">
        <v>74</v>
      </c>
      <c r="BB539">
        <v>276</v>
      </c>
      <c r="BC539">
        <v>284</v>
      </c>
      <c r="BD539" t="s">
        <v>74</v>
      </c>
      <c r="BE539" t="s">
        <v>7898</v>
      </c>
      <c r="BF539" t="str">
        <f>HYPERLINK("http://dx.doi.org/10.1515/BOT.2003.025","http://dx.doi.org/10.1515/BOT.2003.025")</f>
        <v>http://dx.doi.org/10.1515/BOT.2003.025</v>
      </c>
      <c r="BG539" t="s">
        <v>74</v>
      </c>
      <c r="BH539" t="s">
        <v>74</v>
      </c>
      <c r="BI539">
        <v>9</v>
      </c>
      <c r="BJ539" t="s">
        <v>3869</v>
      </c>
      <c r="BK539" t="s">
        <v>94</v>
      </c>
      <c r="BL539" t="s">
        <v>3869</v>
      </c>
      <c r="BM539" t="s">
        <v>7899</v>
      </c>
      <c r="BN539" t="s">
        <v>74</v>
      </c>
      <c r="BO539" t="s">
        <v>74</v>
      </c>
      <c r="BP539" t="s">
        <v>74</v>
      </c>
      <c r="BQ539" t="s">
        <v>74</v>
      </c>
      <c r="BR539" t="s">
        <v>97</v>
      </c>
      <c r="BS539" t="s">
        <v>7900</v>
      </c>
      <c r="BT539" t="str">
        <f>HYPERLINK("https%3A%2F%2Fwww.webofscience.com%2Fwos%2Fwoscc%2Ffull-record%2FWOS:000183010100005","View Full Record in Web of Science")</f>
        <v>View Full Record in Web of Science</v>
      </c>
    </row>
    <row r="540" spans="1:72" x14ac:dyDescent="0.15">
      <c r="A540" t="s">
        <v>72</v>
      </c>
      <c r="B540" t="s">
        <v>7901</v>
      </c>
      <c r="C540" t="s">
        <v>74</v>
      </c>
      <c r="D540" t="s">
        <v>74</v>
      </c>
      <c r="E540" t="s">
        <v>74</v>
      </c>
      <c r="F540" t="s">
        <v>7901</v>
      </c>
      <c r="G540" t="s">
        <v>74</v>
      </c>
      <c r="H540" t="s">
        <v>74</v>
      </c>
      <c r="I540" t="s">
        <v>7902</v>
      </c>
      <c r="J540" t="s">
        <v>7903</v>
      </c>
      <c r="K540" t="s">
        <v>74</v>
      </c>
      <c r="L540" t="s">
        <v>74</v>
      </c>
      <c r="M540" t="s">
        <v>77</v>
      </c>
      <c r="N540" t="s">
        <v>78</v>
      </c>
      <c r="O540" t="s">
        <v>74</v>
      </c>
      <c r="P540" t="s">
        <v>74</v>
      </c>
      <c r="Q540" t="s">
        <v>74</v>
      </c>
      <c r="R540" t="s">
        <v>74</v>
      </c>
      <c r="S540" t="s">
        <v>74</v>
      </c>
      <c r="T540" t="s">
        <v>7904</v>
      </c>
      <c r="U540" t="s">
        <v>7905</v>
      </c>
      <c r="V540" t="s">
        <v>7906</v>
      </c>
      <c r="W540" t="s">
        <v>5463</v>
      </c>
      <c r="X540" t="s">
        <v>706</v>
      </c>
      <c r="Y540" t="s">
        <v>7907</v>
      </c>
      <c r="Z540" t="s">
        <v>74</v>
      </c>
      <c r="AA540" t="s">
        <v>74</v>
      </c>
      <c r="AB540" t="s">
        <v>74</v>
      </c>
      <c r="AC540" t="s">
        <v>74</v>
      </c>
      <c r="AD540" t="s">
        <v>74</v>
      </c>
      <c r="AE540" t="s">
        <v>74</v>
      </c>
      <c r="AF540" t="s">
        <v>74</v>
      </c>
      <c r="AG540">
        <v>37</v>
      </c>
      <c r="AH540">
        <v>35</v>
      </c>
      <c r="AI540">
        <v>37</v>
      </c>
      <c r="AJ540">
        <v>2</v>
      </c>
      <c r="AK540">
        <v>7</v>
      </c>
      <c r="AL540" t="s">
        <v>1891</v>
      </c>
      <c r="AM540" t="s">
        <v>208</v>
      </c>
      <c r="AN540" t="s">
        <v>209</v>
      </c>
      <c r="AO540" t="s">
        <v>7908</v>
      </c>
      <c r="AP540" t="s">
        <v>74</v>
      </c>
      <c r="AQ540" t="s">
        <v>74</v>
      </c>
      <c r="AR540" t="s">
        <v>7909</v>
      </c>
      <c r="AS540" t="s">
        <v>7910</v>
      </c>
      <c r="AT540" t="s">
        <v>7577</v>
      </c>
      <c r="AU540">
        <v>2003</v>
      </c>
      <c r="AV540">
        <v>107</v>
      </c>
      <c r="AW540">
        <v>2</v>
      </c>
      <c r="AX540" t="s">
        <v>74</v>
      </c>
      <c r="AY540" t="s">
        <v>74</v>
      </c>
      <c r="AZ540" t="s">
        <v>74</v>
      </c>
      <c r="BA540" t="s">
        <v>74</v>
      </c>
      <c r="BB540">
        <v>323</v>
      </c>
      <c r="BC540">
        <v>351</v>
      </c>
      <c r="BD540" t="s">
        <v>74</v>
      </c>
      <c r="BE540" t="s">
        <v>7911</v>
      </c>
      <c r="BF540" t="str">
        <f>HYPERLINK("http://dx.doi.org/10.1023/A:1022171009297","http://dx.doi.org/10.1023/A:1022171009297")</f>
        <v>http://dx.doi.org/10.1023/A:1022171009297</v>
      </c>
      <c r="BG540" t="s">
        <v>74</v>
      </c>
      <c r="BH540" t="s">
        <v>74</v>
      </c>
      <c r="BI540">
        <v>29</v>
      </c>
      <c r="BJ540" t="s">
        <v>93</v>
      </c>
      <c r="BK540" t="s">
        <v>94</v>
      </c>
      <c r="BL540" t="s">
        <v>93</v>
      </c>
      <c r="BM540" t="s">
        <v>7912</v>
      </c>
      <c r="BN540" t="s">
        <v>74</v>
      </c>
      <c r="BO540" t="s">
        <v>74</v>
      </c>
      <c r="BP540" t="s">
        <v>74</v>
      </c>
      <c r="BQ540" t="s">
        <v>74</v>
      </c>
      <c r="BR540" t="s">
        <v>97</v>
      </c>
      <c r="BS540" t="s">
        <v>7913</v>
      </c>
      <c r="BT540" t="str">
        <f>HYPERLINK("https%3A%2F%2Fwww.webofscience.com%2Fwos%2Fwoscc%2Ffull-record%2FWOS:000180651600004","View Full Record in Web of Science")</f>
        <v>View Full Record in Web of Science</v>
      </c>
    </row>
    <row r="541" spans="1:72" x14ac:dyDescent="0.15">
      <c r="A541" t="s">
        <v>72</v>
      </c>
      <c r="B541" t="s">
        <v>7914</v>
      </c>
      <c r="C541" t="s">
        <v>74</v>
      </c>
      <c r="D541" t="s">
        <v>74</v>
      </c>
      <c r="E541" t="s">
        <v>74</v>
      </c>
      <c r="F541" t="s">
        <v>7914</v>
      </c>
      <c r="G541" t="s">
        <v>74</v>
      </c>
      <c r="H541" t="s">
        <v>74</v>
      </c>
      <c r="I541" t="s">
        <v>7915</v>
      </c>
      <c r="J541" t="s">
        <v>7916</v>
      </c>
      <c r="K541" t="s">
        <v>74</v>
      </c>
      <c r="L541" t="s">
        <v>74</v>
      </c>
      <c r="M541" t="s">
        <v>77</v>
      </c>
      <c r="N541" t="s">
        <v>78</v>
      </c>
      <c r="O541" t="s">
        <v>74</v>
      </c>
      <c r="P541" t="s">
        <v>74</v>
      </c>
      <c r="Q541" t="s">
        <v>74</v>
      </c>
      <c r="R541" t="s">
        <v>74</v>
      </c>
      <c r="S541" t="s">
        <v>74</v>
      </c>
      <c r="T541" t="s">
        <v>74</v>
      </c>
      <c r="U541" t="s">
        <v>7917</v>
      </c>
      <c r="V541" t="s">
        <v>7918</v>
      </c>
      <c r="W541" t="s">
        <v>7919</v>
      </c>
      <c r="X541" t="s">
        <v>4510</v>
      </c>
      <c r="Y541" t="s">
        <v>7920</v>
      </c>
      <c r="Z541" t="s">
        <v>7921</v>
      </c>
      <c r="AA541" t="s">
        <v>74</v>
      </c>
      <c r="AB541" t="s">
        <v>74</v>
      </c>
      <c r="AC541" t="s">
        <v>74</v>
      </c>
      <c r="AD541" t="s">
        <v>74</v>
      </c>
      <c r="AE541" t="s">
        <v>74</v>
      </c>
      <c r="AF541" t="s">
        <v>74</v>
      </c>
      <c r="AG541">
        <v>38</v>
      </c>
      <c r="AH541">
        <v>15</v>
      </c>
      <c r="AI541">
        <v>16</v>
      </c>
      <c r="AJ541">
        <v>0</v>
      </c>
      <c r="AK541">
        <v>7</v>
      </c>
      <c r="AL541" t="s">
        <v>7922</v>
      </c>
      <c r="AM541" t="s">
        <v>7923</v>
      </c>
      <c r="AN541" t="s">
        <v>7924</v>
      </c>
      <c r="AO541" t="s">
        <v>7925</v>
      </c>
      <c r="AP541" t="s">
        <v>7926</v>
      </c>
      <c r="AQ541" t="s">
        <v>74</v>
      </c>
      <c r="AR541" t="s">
        <v>7927</v>
      </c>
      <c r="AS541" t="s">
        <v>7928</v>
      </c>
      <c r="AT541" t="s">
        <v>7577</v>
      </c>
      <c r="AU541">
        <v>2003</v>
      </c>
      <c r="AV541">
        <v>72</v>
      </c>
      <c r="AW541">
        <v>3</v>
      </c>
      <c r="AX541" t="s">
        <v>74</v>
      </c>
      <c r="AY541" t="s">
        <v>74</v>
      </c>
      <c r="AZ541" t="s">
        <v>74</v>
      </c>
      <c r="BA541" t="s">
        <v>74</v>
      </c>
      <c r="BB541">
        <v>629</v>
      </c>
      <c r="BC541">
        <v>638</v>
      </c>
      <c r="BD541" t="s">
        <v>74</v>
      </c>
      <c r="BE541" t="s">
        <v>74</v>
      </c>
      <c r="BF541" t="s">
        <v>74</v>
      </c>
      <c r="BG541" t="s">
        <v>74</v>
      </c>
      <c r="BH541" t="s">
        <v>74</v>
      </c>
      <c r="BI541">
        <v>10</v>
      </c>
      <c r="BJ541" t="s">
        <v>194</v>
      </c>
      <c r="BK541" t="s">
        <v>94</v>
      </c>
      <c r="BL541" t="s">
        <v>194</v>
      </c>
      <c r="BM541" t="s">
        <v>7929</v>
      </c>
      <c r="BN541" t="s">
        <v>74</v>
      </c>
      <c r="BO541" t="s">
        <v>74</v>
      </c>
      <c r="BP541" t="s">
        <v>74</v>
      </c>
      <c r="BQ541" t="s">
        <v>74</v>
      </c>
      <c r="BR541" t="s">
        <v>97</v>
      </c>
      <c r="BS541" t="s">
        <v>7930</v>
      </c>
      <c r="BT541" t="str">
        <f>HYPERLINK("https%3A%2F%2Fwww.webofscience.com%2Fwos%2Fwoscc%2Ffull-record%2FWOS:000187026500003","View Full Record in Web of Science")</f>
        <v>View Full Record in Web of Science</v>
      </c>
    </row>
    <row r="542" spans="1:72" x14ac:dyDescent="0.15">
      <c r="A542" t="s">
        <v>72</v>
      </c>
      <c r="B542" t="s">
        <v>7931</v>
      </c>
      <c r="C542" t="s">
        <v>74</v>
      </c>
      <c r="D542" t="s">
        <v>74</v>
      </c>
      <c r="E542" t="s">
        <v>74</v>
      </c>
      <c r="F542" t="s">
        <v>7931</v>
      </c>
      <c r="G542" t="s">
        <v>74</v>
      </c>
      <c r="H542" t="s">
        <v>74</v>
      </c>
      <c r="I542" t="s">
        <v>7932</v>
      </c>
      <c r="J542" t="s">
        <v>7933</v>
      </c>
      <c r="K542" t="s">
        <v>74</v>
      </c>
      <c r="L542" t="s">
        <v>74</v>
      </c>
      <c r="M542" t="s">
        <v>77</v>
      </c>
      <c r="N542" t="s">
        <v>556</v>
      </c>
      <c r="O542" t="s">
        <v>74</v>
      </c>
      <c r="P542" t="s">
        <v>74</v>
      </c>
      <c r="Q542" t="s">
        <v>74</v>
      </c>
      <c r="R542" t="s">
        <v>74</v>
      </c>
      <c r="S542" t="s">
        <v>74</v>
      </c>
      <c r="T542" t="s">
        <v>7934</v>
      </c>
      <c r="U542" t="s">
        <v>7935</v>
      </c>
      <c r="V542" t="s">
        <v>7936</v>
      </c>
      <c r="W542" t="s">
        <v>7937</v>
      </c>
      <c r="X542" t="s">
        <v>7938</v>
      </c>
      <c r="Y542" t="s">
        <v>7939</v>
      </c>
      <c r="Z542" t="s">
        <v>7940</v>
      </c>
      <c r="AA542" t="s">
        <v>74</v>
      </c>
      <c r="AB542" t="s">
        <v>74</v>
      </c>
      <c r="AC542" t="s">
        <v>74</v>
      </c>
      <c r="AD542" t="s">
        <v>74</v>
      </c>
      <c r="AE542" t="s">
        <v>74</v>
      </c>
      <c r="AF542" t="s">
        <v>74</v>
      </c>
      <c r="AG542">
        <v>166</v>
      </c>
      <c r="AH542">
        <v>80</v>
      </c>
      <c r="AI542">
        <v>96</v>
      </c>
      <c r="AJ542">
        <v>1</v>
      </c>
      <c r="AK542">
        <v>24</v>
      </c>
      <c r="AL542" t="s">
        <v>7941</v>
      </c>
      <c r="AM542" t="s">
        <v>7942</v>
      </c>
      <c r="AN542" t="s">
        <v>7943</v>
      </c>
      <c r="AO542" t="s">
        <v>7944</v>
      </c>
      <c r="AP542" t="s">
        <v>7945</v>
      </c>
      <c r="AQ542" t="s">
        <v>74</v>
      </c>
      <c r="AR542" t="s">
        <v>7946</v>
      </c>
      <c r="AS542" t="s">
        <v>7947</v>
      </c>
      <c r="AT542" t="s">
        <v>7577</v>
      </c>
      <c r="AU542">
        <v>2003</v>
      </c>
      <c r="AV542">
        <v>63</v>
      </c>
      <c r="AW542">
        <v>2</v>
      </c>
      <c r="AX542" t="s">
        <v>74</v>
      </c>
      <c r="AY542" t="s">
        <v>74</v>
      </c>
      <c r="AZ542" t="s">
        <v>74</v>
      </c>
      <c r="BA542" t="s">
        <v>74</v>
      </c>
      <c r="BB542">
        <v>93</v>
      </c>
      <c r="BC542">
        <v>147</v>
      </c>
      <c r="BD542" t="s">
        <v>74</v>
      </c>
      <c r="BE542" t="s">
        <v>7948</v>
      </c>
      <c r="BF542" t="str">
        <f>HYPERLINK("http://dx.doi.org/10.1078/0009-2819-00031","http://dx.doi.org/10.1078/0009-2819-00031")</f>
        <v>http://dx.doi.org/10.1078/0009-2819-00031</v>
      </c>
      <c r="BG542" t="s">
        <v>74</v>
      </c>
      <c r="BH542" t="s">
        <v>74</v>
      </c>
      <c r="BI542">
        <v>55</v>
      </c>
      <c r="BJ542" t="s">
        <v>176</v>
      </c>
      <c r="BK542" t="s">
        <v>94</v>
      </c>
      <c r="BL542" t="s">
        <v>176</v>
      </c>
      <c r="BM542" t="s">
        <v>7949</v>
      </c>
      <c r="BN542" t="s">
        <v>74</v>
      </c>
      <c r="BO542" t="s">
        <v>74</v>
      </c>
      <c r="BP542" t="s">
        <v>74</v>
      </c>
      <c r="BQ542" t="s">
        <v>74</v>
      </c>
      <c r="BR542" t="s">
        <v>97</v>
      </c>
      <c r="BS542" t="s">
        <v>7950</v>
      </c>
      <c r="BT542" t="str">
        <f>HYPERLINK("https%3A%2F%2Fwww.webofscience.com%2Fwos%2Fwoscc%2Ffull-record%2FWOS:000184376300001","View Full Record in Web of Science")</f>
        <v>View Full Record in Web of Science</v>
      </c>
    </row>
    <row r="543" spans="1:72" x14ac:dyDescent="0.15">
      <c r="A543" t="s">
        <v>72</v>
      </c>
      <c r="B543" t="s">
        <v>7951</v>
      </c>
      <c r="C543" t="s">
        <v>74</v>
      </c>
      <c r="D543" t="s">
        <v>74</v>
      </c>
      <c r="E543" t="s">
        <v>74</v>
      </c>
      <c r="F543" t="s">
        <v>7951</v>
      </c>
      <c r="G543" t="s">
        <v>74</v>
      </c>
      <c r="H543" t="s">
        <v>74</v>
      </c>
      <c r="I543" t="s">
        <v>7952</v>
      </c>
      <c r="J543" t="s">
        <v>3345</v>
      </c>
      <c r="K543" t="s">
        <v>74</v>
      </c>
      <c r="L543" t="s">
        <v>74</v>
      </c>
      <c r="M543" t="s">
        <v>77</v>
      </c>
      <c r="N543" t="s">
        <v>78</v>
      </c>
      <c r="O543" t="s">
        <v>74</v>
      </c>
      <c r="P543" t="s">
        <v>74</v>
      </c>
      <c r="Q543" t="s">
        <v>74</v>
      </c>
      <c r="R543" t="s">
        <v>74</v>
      </c>
      <c r="S543" t="s">
        <v>74</v>
      </c>
      <c r="T543" t="s">
        <v>7953</v>
      </c>
      <c r="U543" t="s">
        <v>7954</v>
      </c>
      <c r="V543" t="s">
        <v>7955</v>
      </c>
      <c r="W543" t="s">
        <v>7956</v>
      </c>
      <c r="X543" t="s">
        <v>7957</v>
      </c>
      <c r="Y543" t="s">
        <v>7958</v>
      </c>
      <c r="Z543" t="s">
        <v>74</v>
      </c>
      <c r="AA543" t="s">
        <v>74</v>
      </c>
      <c r="AB543" t="s">
        <v>74</v>
      </c>
      <c r="AC543" t="s">
        <v>74</v>
      </c>
      <c r="AD543" t="s">
        <v>74</v>
      </c>
      <c r="AE543" t="s">
        <v>74</v>
      </c>
      <c r="AF543" t="s">
        <v>74</v>
      </c>
      <c r="AG543">
        <v>45</v>
      </c>
      <c r="AH543">
        <v>53</v>
      </c>
      <c r="AI543">
        <v>57</v>
      </c>
      <c r="AJ543">
        <v>2</v>
      </c>
      <c r="AK543">
        <v>11</v>
      </c>
      <c r="AL543" t="s">
        <v>169</v>
      </c>
      <c r="AM543" t="s">
        <v>170</v>
      </c>
      <c r="AN543" t="s">
        <v>171</v>
      </c>
      <c r="AO543" t="s">
        <v>3353</v>
      </c>
      <c r="AP543" t="s">
        <v>74</v>
      </c>
      <c r="AQ543" t="s">
        <v>74</v>
      </c>
      <c r="AR543" t="s">
        <v>3345</v>
      </c>
      <c r="AS543" t="s">
        <v>3354</v>
      </c>
      <c r="AT543" t="s">
        <v>7577</v>
      </c>
      <c r="AU543">
        <v>2003</v>
      </c>
      <c r="AV543">
        <v>51</v>
      </c>
      <c r="AW543">
        <v>5</v>
      </c>
      <c r="AX543" t="s">
        <v>74</v>
      </c>
      <c r="AY543" t="s">
        <v>74</v>
      </c>
      <c r="AZ543" t="s">
        <v>74</v>
      </c>
      <c r="BA543" t="s">
        <v>74</v>
      </c>
      <c r="BB543">
        <v>409</v>
      </c>
      <c r="BC543">
        <v>417</v>
      </c>
      <c r="BD543" t="s">
        <v>74</v>
      </c>
      <c r="BE543" t="s">
        <v>7959</v>
      </c>
      <c r="BF543" t="str">
        <f>HYPERLINK("http://dx.doi.org/10.1016/S0045-6535(02)00855-X","http://dx.doi.org/10.1016/S0045-6535(02)00855-X")</f>
        <v>http://dx.doi.org/10.1016/S0045-6535(02)00855-X</v>
      </c>
      <c r="BG543" t="s">
        <v>74</v>
      </c>
      <c r="BH543" t="s">
        <v>74</v>
      </c>
      <c r="BI543">
        <v>9</v>
      </c>
      <c r="BJ543" t="s">
        <v>2511</v>
      </c>
      <c r="BK543" t="s">
        <v>94</v>
      </c>
      <c r="BL543" t="s">
        <v>2512</v>
      </c>
      <c r="BM543" t="s">
        <v>7960</v>
      </c>
      <c r="BN543">
        <v>12598006</v>
      </c>
      <c r="BO543" t="s">
        <v>74</v>
      </c>
      <c r="BP543" t="s">
        <v>74</v>
      </c>
      <c r="BQ543" t="s">
        <v>74</v>
      </c>
      <c r="BR543" t="s">
        <v>97</v>
      </c>
      <c r="BS543" t="s">
        <v>7961</v>
      </c>
      <c r="BT543" t="str">
        <f>HYPERLINK("https%3A%2F%2Fwww.webofscience.com%2Fwos%2Fwoscc%2Ffull-record%2FWOS:000181385900008","View Full Record in Web of Science")</f>
        <v>View Full Record in Web of Science</v>
      </c>
    </row>
    <row r="544" spans="1:72" x14ac:dyDescent="0.15">
      <c r="A544" t="s">
        <v>72</v>
      </c>
      <c r="B544" t="s">
        <v>7962</v>
      </c>
      <c r="C544" t="s">
        <v>74</v>
      </c>
      <c r="D544" t="s">
        <v>74</v>
      </c>
      <c r="E544" t="s">
        <v>74</v>
      </c>
      <c r="F544" t="s">
        <v>7962</v>
      </c>
      <c r="G544" t="s">
        <v>74</v>
      </c>
      <c r="H544" t="s">
        <v>74</v>
      </c>
      <c r="I544" t="s">
        <v>7963</v>
      </c>
      <c r="J544" t="s">
        <v>3360</v>
      </c>
      <c r="K544" t="s">
        <v>74</v>
      </c>
      <c r="L544" t="s">
        <v>74</v>
      </c>
      <c r="M544" t="s">
        <v>77</v>
      </c>
      <c r="N544" t="s">
        <v>78</v>
      </c>
      <c r="O544" t="s">
        <v>74</v>
      </c>
      <c r="P544" t="s">
        <v>74</v>
      </c>
      <c r="Q544" t="s">
        <v>74</v>
      </c>
      <c r="R544" t="s">
        <v>74</v>
      </c>
      <c r="S544" t="s">
        <v>74</v>
      </c>
      <c r="T544" t="s">
        <v>7964</v>
      </c>
      <c r="U544" t="s">
        <v>7965</v>
      </c>
      <c r="V544" t="s">
        <v>7966</v>
      </c>
      <c r="W544" t="s">
        <v>7967</v>
      </c>
      <c r="X544" t="s">
        <v>7968</v>
      </c>
      <c r="Y544" t="s">
        <v>3366</v>
      </c>
      <c r="Z544" t="s">
        <v>3367</v>
      </c>
      <c r="AA544" t="s">
        <v>7969</v>
      </c>
      <c r="AB544" t="s">
        <v>74</v>
      </c>
      <c r="AC544" t="s">
        <v>74</v>
      </c>
      <c r="AD544" t="s">
        <v>74</v>
      </c>
      <c r="AE544" t="s">
        <v>74</v>
      </c>
      <c r="AF544" t="s">
        <v>74</v>
      </c>
      <c r="AG544">
        <v>17</v>
      </c>
      <c r="AH544">
        <v>5</v>
      </c>
      <c r="AI544">
        <v>13</v>
      </c>
      <c r="AJ544">
        <v>0</v>
      </c>
      <c r="AK544">
        <v>8</v>
      </c>
      <c r="AL544" t="s">
        <v>3369</v>
      </c>
      <c r="AM544" t="s">
        <v>3370</v>
      </c>
      <c r="AN544" t="s">
        <v>3371</v>
      </c>
      <c r="AO544" t="s">
        <v>3372</v>
      </c>
      <c r="AP544" t="s">
        <v>3373</v>
      </c>
      <c r="AQ544" t="s">
        <v>74</v>
      </c>
      <c r="AR544" t="s">
        <v>3374</v>
      </c>
      <c r="AS544" t="s">
        <v>3375</v>
      </c>
      <c r="AT544" t="s">
        <v>7577</v>
      </c>
      <c r="AU544">
        <v>2003</v>
      </c>
      <c r="AV544">
        <v>48</v>
      </c>
      <c r="AW544">
        <v>9</v>
      </c>
      <c r="AX544" t="s">
        <v>74</v>
      </c>
      <c r="AY544" t="s">
        <v>74</v>
      </c>
      <c r="AZ544" t="s">
        <v>74</v>
      </c>
      <c r="BA544" t="s">
        <v>74</v>
      </c>
      <c r="BB544">
        <v>908</v>
      </c>
      <c r="BC544">
        <v>913</v>
      </c>
      <c r="BD544" t="s">
        <v>74</v>
      </c>
      <c r="BE544" t="s">
        <v>7970</v>
      </c>
      <c r="BF544" t="str">
        <f>HYPERLINK("http://dx.doi.org/10.1360/03wd0497","http://dx.doi.org/10.1360/03wd0497")</f>
        <v>http://dx.doi.org/10.1360/03wd0497</v>
      </c>
      <c r="BG544" t="s">
        <v>74</v>
      </c>
      <c r="BH544" t="s">
        <v>74</v>
      </c>
      <c r="BI544">
        <v>6</v>
      </c>
      <c r="BJ544" t="s">
        <v>971</v>
      </c>
      <c r="BK544" t="s">
        <v>94</v>
      </c>
      <c r="BL544" t="s">
        <v>972</v>
      </c>
      <c r="BM544" t="s">
        <v>7971</v>
      </c>
      <c r="BN544" t="s">
        <v>74</v>
      </c>
      <c r="BO544" t="s">
        <v>74</v>
      </c>
      <c r="BP544" t="s">
        <v>74</v>
      </c>
      <c r="BQ544" t="s">
        <v>74</v>
      </c>
      <c r="BR544" t="s">
        <v>97</v>
      </c>
      <c r="BS544" t="s">
        <v>7972</v>
      </c>
      <c r="BT544" t="str">
        <f>HYPERLINK("https%3A%2F%2Fwww.webofscience.com%2Fwos%2Fwoscc%2Ffull-record%2FWOS:000183995400015","View Full Record in Web of Science")</f>
        <v>View Full Record in Web of Science</v>
      </c>
    </row>
    <row r="545" spans="1:72" x14ac:dyDescent="0.15">
      <c r="A545" t="s">
        <v>72</v>
      </c>
      <c r="B545" t="s">
        <v>7973</v>
      </c>
      <c r="C545" t="s">
        <v>74</v>
      </c>
      <c r="D545" t="s">
        <v>74</v>
      </c>
      <c r="E545" t="s">
        <v>74</v>
      </c>
      <c r="F545" t="s">
        <v>7973</v>
      </c>
      <c r="G545" t="s">
        <v>74</v>
      </c>
      <c r="H545" t="s">
        <v>74</v>
      </c>
      <c r="I545" t="s">
        <v>7974</v>
      </c>
      <c r="J545" t="s">
        <v>1474</v>
      </c>
      <c r="K545" t="s">
        <v>74</v>
      </c>
      <c r="L545" t="s">
        <v>74</v>
      </c>
      <c r="M545" t="s">
        <v>77</v>
      </c>
      <c r="N545" t="s">
        <v>78</v>
      </c>
      <c r="O545" t="s">
        <v>74</v>
      </c>
      <c r="P545" t="s">
        <v>74</v>
      </c>
      <c r="Q545" t="s">
        <v>74</v>
      </c>
      <c r="R545" t="s">
        <v>74</v>
      </c>
      <c r="S545" t="s">
        <v>74</v>
      </c>
      <c r="T545" t="s">
        <v>74</v>
      </c>
      <c r="U545" t="s">
        <v>7975</v>
      </c>
      <c r="V545" t="s">
        <v>7976</v>
      </c>
      <c r="W545" t="s">
        <v>7977</v>
      </c>
      <c r="X545" t="s">
        <v>7978</v>
      </c>
      <c r="Y545" t="s">
        <v>7979</v>
      </c>
      <c r="Z545" t="s">
        <v>74</v>
      </c>
      <c r="AA545" t="s">
        <v>74</v>
      </c>
      <c r="AB545" t="s">
        <v>74</v>
      </c>
      <c r="AC545" t="s">
        <v>74</v>
      </c>
      <c r="AD545" t="s">
        <v>74</v>
      </c>
      <c r="AE545" t="s">
        <v>74</v>
      </c>
      <c r="AF545" t="s">
        <v>74</v>
      </c>
      <c r="AG545">
        <v>42</v>
      </c>
      <c r="AH545">
        <v>111</v>
      </c>
      <c r="AI545">
        <v>121</v>
      </c>
      <c r="AJ545">
        <v>1</v>
      </c>
      <c r="AK545">
        <v>35</v>
      </c>
      <c r="AL545" t="s">
        <v>342</v>
      </c>
      <c r="AM545" t="s">
        <v>229</v>
      </c>
      <c r="AN545" t="s">
        <v>343</v>
      </c>
      <c r="AO545" t="s">
        <v>1483</v>
      </c>
      <c r="AP545" t="s">
        <v>74</v>
      </c>
      <c r="AQ545" t="s">
        <v>74</v>
      </c>
      <c r="AR545" t="s">
        <v>1485</v>
      </c>
      <c r="AS545" t="s">
        <v>1486</v>
      </c>
      <c r="AT545" t="s">
        <v>7577</v>
      </c>
      <c r="AU545">
        <v>2003</v>
      </c>
      <c r="AV545">
        <v>20</v>
      </c>
      <c r="AW545" t="s">
        <v>5747</v>
      </c>
      <c r="AX545" t="s">
        <v>74</v>
      </c>
      <c r="AY545" t="s">
        <v>74</v>
      </c>
      <c r="AZ545" t="s">
        <v>74</v>
      </c>
      <c r="BA545" t="s">
        <v>74</v>
      </c>
      <c r="BB545">
        <v>759</v>
      </c>
      <c r="BC545">
        <v>773</v>
      </c>
      <c r="BD545" t="s">
        <v>74</v>
      </c>
      <c r="BE545" t="s">
        <v>7980</v>
      </c>
      <c r="BF545" t="str">
        <f>HYPERLINK("http://dx.doi.org/10.1007/s00382-002-0302-4","http://dx.doi.org/10.1007/s00382-002-0302-4")</f>
        <v>http://dx.doi.org/10.1007/s00382-002-0302-4</v>
      </c>
      <c r="BG545" t="s">
        <v>74</v>
      </c>
      <c r="BH545" t="s">
        <v>74</v>
      </c>
      <c r="BI545">
        <v>15</v>
      </c>
      <c r="BJ545" t="s">
        <v>93</v>
      </c>
      <c r="BK545" t="s">
        <v>94</v>
      </c>
      <c r="BL545" t="s">
        <v>93</v>
      </c>
      <c r="BM545" t="s">
        <v>7981</v>
      </c>
      <c r="BN545" t="s">
        <v>74</v>
      </c>
      <c r="BO545" t="s">
        <v>74</v>
      </c>
      <c r="BP545" t="s">
        <v>74</v>
      </c>
      <c r="BQ545" t="s">
        <v>74</v>
      </c>
      <c r="BR545" t="s">
        <v>97</v>
      </c>
      <c r="BS545" t="s">
        <v>7982</v>
      </c>
      <c r="BT545" t="str">
        <f>HYPERLINK("https%3A%2F%2Fwww.webofscience.com%2Fwos%2Fwoscc%2Ffull-record%2FWOS:000183550600006","View Full Record in Web of Science")</f>
        <v>View Full Record in Web of Science</v>
      </c>
    </row>
    <row r="546" spans="1:72" x14ac:dyDescent="0.15">
      <c r="A546" t="s">
        <v>72</v>
      </c>
      <c r="B546" t="s">
        <v>7983</v>
      </c>
      <c r="C546" t="s">
        <v>74</v>
      </c>
      <c r="D546" t="s">
        <v>74</v>
      </c>
      <c r="E546" t="s">
        <v>74</v>
      </c>
      <c r="F546" t="s">
        <v>7983</v>
      </c>
      <c r="G546" t="s">
        <v>74</v>
      </c>
      <c r="H546" t="s">
        <v>74</v>
      </c>
      <c r="I546" t="s">
        <v>7984</v>
      </c>
      <c r="J546" t="s">
        <v>7985</v>
      </c>
      <c r="K546" t="s">
        <v>74</v>
      </c>
      <c r="L546" t="s">
        <v>74</v>
      </c>
      <c r="M546" t="s">
        <v>77</v>
      </c>
      <c r="N546" t="s">
        <v>78</v>
      </c>
      <c r="O546" t="s">
        <v>74</v>
      </c>
      <c r="P546" t="s">
        <v>74</v>
      </c>
      <c r="Q546" t="s">
        <v>74</v>
      </c>
      <c r="R546" t="s">
        <v>74</v>
      </c>
      <c r="S546" t="s">
        <v>74</v>
      </c>
      <c r="T546" t="s">
        <v>7986</v>
      </c>
      <c r="U546" t="s">
        <v>7987</v>
      </c>
      <c r="V546" t="s">
        <v>7988</v>
      </c>
      <c r="W546" t="s">
        <v>7989</v>
      </c>
      <c r="X546" t="s">
        <v>7990</v>
      </c>
      <c r="Y546" t="s">
        <v>7991</v>
      </c>
      <c r="Z546" t="s">
        <v>74</v>
      </c>
      <c r="AA546" t="s">
        <v>74</v>
      </c>
      <c r="AB546" t="s">
        <v>74</v>
      </c>
      <c r="AC546" t="s">
        <v>74</v>
      </c>
      <c r="AD546" t="s">
        <v>74</v>
      </c>
      <c r="AE546" t="s">
        <v>74</v>
      </c>
      <c r="AF546" t="s">
        <v>74</v>
      </c>
      <c r="AG546">
        <v>38</v>
      </c>
      <c r="AH546">
        <v>20</v>
      </c>
      <c r="AI546">
        <v>21</v>
      </c>
      <c r="AJ546">
        <v>1</v>
      </c>
      <c r="AK546">
        <v>10</v>
      </c>
      <c r="AL546" t="s">
        <v>110</v>
      </c>
      <c r="AM546" t="s">
        <v>111</v>
      </c>
      <c r="AN546" t="s">
        <v>112</v>
      </c>
      <c r="AO546" t="s">
        <v>7992</v>
      </c>
      <c r="AP546" t="s">
        <v>74</v>
      </c>
      <c r="AQ546" t="s">
        <v>74</v>
      </c>
      <c r="AR546" t="s">
        <v>7993</v>
      </c>
      <c r="AS546" t="s">
        <v>7994</v>
      </c>
      <c r="AT546" t="s">
        <v>7995</v>
      </c>
      <c r="AU546">
        <v>2003</v>
      </c>
      <c r="AV546">
        <v>28</v>
      </c>
      <c r="AW546">
        <v>4</v>
      </c>
      <c r="AX546" t="s">
        <v>74</v>
      </c>
      <c r="AY546" t="s">
        <v>74</v>
      </c>
      <c r="AZ546" t="s">
        <v>74</v>
      </c>
      <c r="BA546" t="s">
        <v>74</v>
      </c>
      <c r="BB546">
        <v>251</v>
      </c>
      <c r="BC546">
        <v>260</v>
      </c>
      <c r="BD546" t="s">
        <v>74</v>
      </c>
      <c r="BE546" t="s">
        <v>7996</v>
      </c>
      <c r="BF546" t="str">
        <f>HYPERLINK("http://dx.doi.org/10.1016/S0927-7765(02)00150-9","http://dx.doi.org/10.1016/S0927-7765(02)00150-9")</f>
        <v>http://dx.doi.org/10.1016/S0927-7765(02)00150-9</v>
      </c>
      <c r="BG546" t="s">
        <v>74</v>
      </c>
      <c r="BH546" t="s">
        <v>74</v>
      </c>
      <c r="BI546">
        <v>10</v>
      </c>
      <c r="BJ546" t="s">
        <v>7997</v>
      </c>
      <c r="BK546" t="s">
        <v>94</v>
      </c>
      <c r="BL546" t="s">
        <v>7998</v>
      </c>
      <c r="BM546" t="s">
        <v>7999</v>
      </c>
      <c r="BN546" t="s">
        <v>74</v>
      </c>
      <c r="BO546" t="s">
        <v>1767</v>
      </c>
      <c r="BP546" t="s">
        <v>74</v>
      </c>
      <c r="BQ546" t="s">
        <v>74</v>
      </c>
      <c r="BR546" t="s">
        <v>97</v>
      </c>
      <c r="BS546" t="s">
        <v>8000</v>
      </c>
      <c r="BT546" t="str">
        <f>HYPERLINK("https%3A%2F%2Fwww.webofscience.com%2Fwos%2Fwoscc%2Ffull-record%2FWOS:000182408300002","View Full Record in Web of Science")</f>
        <v>View Full Record in Web of Science</v>
      </c>
    </row>
    <row r="547" spans="1:72" x14ac:dyDescent="0.15">
      <c r="A547" t="s">
        <v>72</v>
      </c>
      <c r="B547" t="s">
        <v>8001</v>
      </c>
      <c r="C547" t="s">
        <v>74</v>
      </c>
      <c r="D547" t="s">
        <v>74</v>
      </c>
      <c r="E547" t="s">
        <v>74</v>
      </c>
      <c r="F547" t="s">
        <v>8001</v>
      </c>
      <c r="G547" t="s">
        <v>74</v>
      </c>
      <c r="H547" t="s">
        <v>74</v>
      </c>
      <c r="I547" t="s">
        <v>8002</v>
      </c>
      <c r="J547" t="s">
        <v>8003</v>
      </c>
      <c r="K547" t="s">
        <v>74</v>
      </c>
      <c r="L547" t="s">
        <v>74</v>
      </c>
      <c r="M547" t="s">
        <v>77</v>
      </c>
      <c r="N547" t="s">
        <v>78</v>
      </c>
      <c r="O547" t="s">
        <v>74</v>
      </c>
      <c r="P547" t="s">
        <v>74</v>
      </c>
      <c r="Q547" t="s">
        <v>74</v>
      </c>
      <c r="R547" t="s">
        <v>74</v>
      </c>
      <c r="S547" t="s">
        <v>74</v>
      </c>
      <c r="T547" t="s">
        <v>8004</v>
      </c>
      <c r="U547" t="s">
        <v>8005</v>
      </c>
      <c r="V547" t="s">
        <v>8006</v>
      </c>
      <c r="W547" t="s">
        <v>8007</v>
      </c>
      <c r="X547" t="s">
        <v>8008</v>
      </c>
      <c r="Y547" t="s">
        <v>269</v>
      </c>
      <c r="Z547" t="s">
        <v>8009</v>
      </c>
      <c r="AA547" t="s">
        <v>8010</v>
      </c>
      <c r="AB547" t="s">
        <v>8011</v>
      </c>
      <c r="AC547" t="s">
        <v>74</v>
      </c>
      <c r="AD547" t="s">
        <v>74</v>
      </c>
      <c r="AE547" t="s">
        <v>74</v>
      </c>
      <c r="AF547" t="s">
        <v>74</v>
      </c>
      <c r="AG547">
        <v>46</v>
      </c>
      <c r="AH547">
        <v>11</v>
      </c>
      <c r="AI547">
        <v>11</v>
      </c>
      <c r="AJ547">
        <v>0</v>
      </c>
      <c r="AK547">
        <v>12</v>
      </c>
      <c r="AL547" t="s">
        <v>1571</v>
      </c>
      <c r="AM547" t="s">
        <v>229</v>
      </c>
      <c r="AN547" t="s">
        <v>6371</v>
      </c>
      <c r="AO547" t="s">
        <v>8012</v>
      </c>
      <c r="AP547" t="s">
        <v>8013</v>
      </c>
      <c r="AQ547" t="s">
        <v>74</v>
      </c>
      <c r="AR547" t="s">
        <v>8014</v>
      </c>
      <c r="AS547" t="s">
        <v>8015</v>
      </c>
      <c r="AT547" t="s">
        <v>7577</v>
      </c>
      <c r="AU547">
        <v>2003</v>
      </c>
      <c r="AV547">
        <v>135</v>
      </c>
      <c r="AW547">
        <v>1</v>
      </c>
      <c r="AX547" t="s">
        <v>74</v>
      </c>
      <c r="AY547" t="s">
        <v>74</v>
      </c>
      <c r="AZ547" t="s">
        <v>74</v>
      </c>
      <c r="BA547" t="s">
        <v>74</v>
      </c>
      <c r="BB547">
        <v>185</v>
      </c>
      <c r="BC547">
        <v>193</v>
      </c>
      <c r="BD547" t="s">
        <v>74</v>
      </c>
      <c r="BE547" t="s">
        <v>8016</v>
      </c>
      <c r="BF547" t="str">
        <f>HYPERLINK("http://dx.doi.org/10.1016/S1095-6433(03)00073-4","http://dx.doi.org/10.1016/S1095-6433(03)00073-4")</f>
        <v>http://dx.doi.org/10.1016/S1095-6433(03)00073-4</v>
      </c>
      <c r="BG547" t="s">
        <v>74</v>
      </c>
      <c r="BH547" t="s">
        <v>74</v>
      </c>
      <c r="BI547">
        <v>9</v>
      </c>
      <c r="BJ547" t="s">
        <v>8017</v>
      </c>
      <c r="BK547" t="s">
        <v>94</v>
      </c>
      <c r="BL547" t="s">
        <v>8017</v>
      </c>
      <c r="BM547" t="s">
        <v>8018</v>
      </c>
      <c r="BN547">
        <v>12727555</v>
      </c>
      <c r="BO547" t="s">
        <v>74</v>
      </c>
      <c r="BP547" t="s">
        <v>74</v>
      </c>
      <c r="BQ547" t="s">
        <v>74</v>
      </c>
      <c r="BR547" t="s">
        <v>97</v>
      </c>
      <c r="BS547" t="s">
        <v>8019</v>
      </c>
      <c r="BT547" t="str">
        <f>HYPERLINK("https%3A%2F%2Fwww.webofscience.com%2Fwos%2Fwoscc%2Ffull-record%2FWOS:000182955700011","View Full Record in Web of Science")</f>
        <v>View Full Record in Web of Science</v>
      </c>
    </row>
    <row r="548" spans="1:72" x14ac:dyDescent="0.15">
      <c r="A548" t="s">
        <v>72</v>
      </c>
      <c r="B548" t="s">
        <v>8020</v>
      </c>
      <c r="C548" t="s">
        <v>74</v>
      </c>
      <c r="D548" t="s">
        <v>74</v>
      </c>
      <c r="E548" t="s">
        <v>74</v>
      </c>
      <c r="F548" t="s">
        <v>8020</v>
      </c>
      <c r="G548" t="s">
        <v>74</v>
      </c>
      <c r="H548" t="s">
        <v>74</v>
      </c>
      <c r="I548" t="s">
        <v>8021</v>
      </c>
      <c r="J548" t="s">
        <v>4853</v>
      </c>
      <c r="K548" t="s">
        <v>74</v>
      </c>
      <c r="L548" t="s">
        <v>74</v>
      </c>
      <c r="M548" t="s">
        <v>77</v>
      </c>
      <c r="N548" t="s">
        <v>78</v>
      </c>
      <c r="O548" t="s">
        <v>74</v>
      </c>
      <c r="P548" t="s">
        <v>74</v>
      </c>
      <c r="Q548" t="s">
        <v>74</v>
      </c>
      <c r="R548" t="s">
        <v>74</v>
      </c>
      <c r="S548" t="s">
        <v>74</v>
      </c>
      <c r="T548" t="s">
        <v>74</v>
      </c>
      <c r="U548" t="s">
        <v>8022</v>
      </c>
      <c r="V548" t="s">
        <v>74</v>
      </c>
      <c r="W548" t="s">
        <v>8023</v>
      </c>
      <c r="X548" t="s">
        <v>8024</v>
      </c>
      <c r="Y548" t="s">
        <v>8025</v>
      </c>
      <c r="Z548" t="s">
        <v>74</v>
      </c>
      <c r="AA548" t="s">
        <v>8026</v>
      </c>
      <c r="AB548" t="s">
        <v>74</v>
      </c>
      <c r="AC548" t="s">
        <v>74</v>
      </c>
      <c r="AD548" t="s">
        <v>74</v>
      </c>
      <c r="AE548" t="s">
        <v>74</v>
      </c>
      <c r="AF548" t="s">
        <v>74</v>
      </c>
      <c r="AG548">
        <v>15</v>
      </c>
      <c r="AH548">
        <v>1</v>
      </c>
      <c r="AI548">
        <v>1</v>
      </c>
      <c r="AJ548">
        <v>0</v>
      </c>
      <c r="AK548">
        <v>1</v>
      </c>
      <c r="AL548" t="s">
        <v>1789</v>
      </c>
      <c r="AM548" t="s">
        <v>1790</v>
      </c>
      <c r="AN548" t="s">
        <v>1791</v>
      </c>
      <c r="AO548" t="s">
        <v>4860</v>
      </c>
      <c r="AP548" t="s">
        <v>74</v>
      </c>
      <c r="AQ548" t="s">
        <v>74</v>
      </c>
      <c r="AR548" t="s">
        <v>4861</v>
      </c>
      <c r="AS548" t="s">
        <v>4862</v>
      </c>
      <c r="AT548" t="s">
        <v>7592</v>
      </c>
      <c r="AU548">
        <v>2003</v>
      </c>
      <c r="AV548">
        <v>390</v>
      </c>
      <c r="AW548">
        <v>4</v>
      </c>
      <c r="AX548" t="s">
        <v>74</v>
      </c>
      <c r="AY548" t="s">
        <v>74</v>
      </c>
      <c r="AZ548" t="s">
        <v>74</v>
      </c>
      <c r="BA548" t="s">
        <v>74</v>
      </c>
      <c r="BB548">
        <v>533</v>
      </c>
      <c r="BC548">
        <v>537</v>
      </c>
      <c r="BD548" t="s">
        <v>74</v>
      </c>
      <c r="BE548" t="s">
        <v>74</v>
      </c>
      <c r="BF548" t="s">
        <v>74</v>
      </c>
      <c r="BG548" t="s">
        <v>74</v>
      </c>
      <c r="BH548" t="s">
        <v>74</v>
      </c>
      <c r="BI548">
        <v>5</v>
      </c>
      <c r="BJ548" t="s">
        <v>548</v>
      </c>
      <c r="BK548" t="s">
        <v>94</v>
      </c>
      <c r="BL548" t="s">
        <v>549</v>
      </c>
      <c r="BM548" t="s">
        <v>8027</v>
      </c>
      <c r="BN548" t="s">
        <v>74</v>
      </c>
      <c r="BO548" t="s">
        <v>74</v>
      </c>
      <c r="BP548" t="s">
        <v>74</v>
      </c>
      <c r="BQ548" t="s">
        <v>74</v>
      </c>
      <c r="BR548" t="s">
        <v>97</v>
      </c>
      <c r="BS548" t="s">
        <v>8028</v>
      </c>
      <c r="BT548" t="str">
        <f>HYPERLINK("https%3A%2F%2Fwww.webofscience.com%2Fwos%2Fwoscc%2Ffull-record%2FWOS:000183698200014","View Full Record in Web of Science")</f>
        <v>View Full Record in Web of Science</v>
      </c>
    </row>
    <row r="549" spans="1:72" x14ac:dyDescent="0.15">
      <c r="A549" t="s">
        <v>72</v>
      </c>
      <c r="B549" t="s">
        <v>8029</v>
      </c>
      <c r="C549" t="s">
        <v>74</v>
      </c>
      <c r="D549" t="s">
        <v>74</v>
      </c>
      <c r="E549" t="s">
        <v>74</v>
      </c>
      <c r="F549" t="s">
        <v>8029</v>
      </c>
      <c r="G549" t="s">
        <v>74</v>
      </c>
      <c r="H549" t="s">
        <v>74</v>
      </c>
      <c r="I549" t="s">
        <v>8030</v>
      </c>
      <c r="J549" t="s">
        <v>4853</v>
      </c>
      <c r="K549" t="s">
        <v>74</v>
      </c>
      <c r="L549" t="s">
        <v>74</v>
      </c>
      <c r="M549" t="s">
        <v>77</v>
      </c>
      <c r="N549" t="s">
        <v>78</v>
      </c>
      <c r="O549" t="s">
        <v>74</v>
      </c>
      <c r="P549" t="s">
        <v>74</v>
      </c>
      <c r="Q549" t="s">
        <v>74</v>
      </c>
      <c r="R549" t="s">
        <v>74</v>
      </c>
      <c r="S549" t="s">
        <v>74</v>
      </c>
      <c r="T549" t="s">
        <v>74</v>
      </c>
      <c r="U549" t="s">
        <v>8031</v>
      </c>
      <c r="V549" t="s">
        <v>74</v>
      </c>
      <c r="W549" t="s">
        <v>8032</v>
      </c>
      <c r="X549" t="s">
        <v>2376</v>
      </c>
      <c r="Y549" t="s">
        <v>8033</v>
      </c>
      <c r="Z549" t="s">
        <v>8034</v>
      </c>
      <c r="AA549" t="s">
        <v>8035</v>
      </c>
      <c r="AB549" t="s">
        <v>8036</v>
      </c>
      <c r="AC549" t="s">
        <v>74</v>
      </c>
      <c r="AD549" t="s">
        <v>74</v>
      </c>
      <c r="AE549" t="s">
        <v>74</v>
      </c>
      <c r="AF549" t="s">
        <v>74</v>
      </c>
      <c r="AG549">
        <v>14</v>
      </c>
      <c r="AH549">
        <v>3</v>
      </c>
      <c r="AI549">
        <v>3</v>
      </c>
      <c r="AJ549">
        <v>0</v>
      </c>
      <c r="AK549">
        <v>2</v>
      </c>
      <c r="AL549" t="s">
        <v>1817</v>
      </c>
      <c r="AM549" t="s">
        <v>229</v>
      </c>
      <c r="AN549" t="s">
        <v>1818</v>
      </c>
      <c r="AO549" t="s">
        <v>4860</v>
      </c>
      <c r="AP549" t="s">
        <v>8037</v>
      </c>
      <c r="AQ549" t="s">
        <v>74</v>
      </c>
      <c r="AR549" t="s">
        <v>4861</v>
      </c>
      <c r="AS549" t="s">
        <v>4862</v>
      </c>
      <c r="AT549" t="s">
        <v>7592</v>
      </c>
      <c r="AU549">
        <v>2003</v>
      </c>
      <c r="AV549">
        <v>390</v>
      </c>
      <c r="AW549">
        <v>4</v>
      </c>
      <c r="AX549" t="s">
        <v>74</v>
      </c>
      <c r="AY549" t="s">
        <v>74</v>
      </c>
      <c r="AZ549" t="s">
        <v>74</v>
      </c>
      <c r="BA549" t="s">
        <v>74</v>
      </c>
      <c r="BB549">
        <v>593</v>
      </c>
      <c r="BC549">
        <v>596</v>
      </c>
      <c r="BD549" t="s">
        <v>74</v>
      </c>
      <c r="BE549" t="s">
        <v>74</v>
      </c>
      <c r="BF549" t="s">
        <v>74</v>
      </c>
      <c r="BG549" t="s">
        <v>74</v>
      </c>
      <c r="BH549" t="s">
        <v>74</v>
      </c>
      <c r="BI549">
        <v>4</v>
      </c>
      <c r="BJ549" t="s">
        <v>548</v>
      </c>
      <c r="BK549" t="s">
        <v>94</v>
      </c>
      <c r="BL549" t="s">
        <v>549</v>
      </c>
      <c r="BM549" t="s">
        <v>8027</v>
      </c>
      <c r="BN549" t="s">
        <v>74</v>
      </c>
      <c r="BO549" t="s">
        <v>74</v>
      </c>
      <c r="BP549" t="s">
        <v>74</v>
      </c>
      <c r="BQ549" t="s">
        <v>74</v>
      </c>
      <c r="BR549" t="s">
        <v>97</v>
      </c>
      <c r="BS549" t="s">
        <v>8038</v>
      </c>
      <c r="BT549" t="str">
        <f>HYPERLINK("https%3A%2F%2Fwww.webofscience.com%2Fwos%2Fwoscc%2Ffull-record%2FWOS:000183698200029","View Full Record in Web of Science")</f>
        <v>View Full Record in Web of Science</v>
      </c>
    </row>
    <row r="550" spans="1:72" x14ac:dyDescent="0.15">
      <c r="A550" t="s">
        <v>72</v>
      </c>
      <c r="B550" t="s">
        <v>8039</v>
      </c>
      <c r="C550" t="s">
        <v>74</v>
      </c>
      <c r="D550" t="s">
        <v>74</v>
      </c>
      <c r="E550" t="s">
        <v>74</v>
      </c>
      <c r="F550" t="s">
        <v>8039</v>
      </c>
      <c r="G550" t="s">
        <v>74</v>
      </c>
      <c r="H550" t="s">
        <v>74</v>
      </c>
      <c r="I550" t="s">
        <v>8040</v>
      </c>
      <c r="J550" t="s">
        <v>8041</v>
      </c>
      <c r="K550" t="s">
        <v>74</v>
      </c>
      <c r="L550" t="s">
        <v>74</v>
      </c>
      <c r="M550" t="s">
        <v>77</v>
      </c>
      <c r="N550" t="s">
        <v>78</v>
      </c>
      <c r="O550" t="s">
        <v>74</v>
      </c>
      <c r="P550" t="s">
        <v>74</v>
      </c>
      <c r="Q550" t="s">
        <v>74</v>
      </c>
      <c r="R550" t="s">
        <v>74</v>
      </c>
      <c r="S550" t="s">
        <v>74</v>
      </c>
      <c r="T550" t="s">
        <v>8042</v>
      </c>
      <c r="U550" t="s">
        <v>8043</v>
      </c>
      <c r="V550" t="s">
        <v>8044</v>
      </c>
      <c r="W550" t="s">
        <v>8045</v>
      </c>
      <c r="X550" t="s">
        <v>8046</v>
      </c>
      <c r="Y550" t="s">
        <v>8047</v>
      </c>
      <c r="Z550" t="s">
        <v>74</v>
      </c>
      <c r="AA550" t="s">
        <v>8048</v>
      </c>
      <c r="AB550" t="s">
        <v>8049</v>
      </c>
      <c r="AC550" t="s">
        <v>74</v>
      </c>
      <c r="AD550" t="s">
        <v>74</v>
      </c>
      <c r="AE550" t="s">
        <v>74</v>
      </c>
      <c r="AF550" t="s">
        <v>74</v>
      </c>
      <c r="AG550">
        <v>34</v>
      </c>
      <c r="AH550">
        <v>32</v>
      </c>
      <c r="AI550">
        <v>37</v>
      </c>
      <c r="AJ550">
        <v>0</v>
      </c>
      <c r="AK550">
        <v>10</v>
      </c>
      <c r="AL550" t="s">
        <v>3611</v>
      </c>
      <c r="AM550" t="s">
        <v>964</v>
      </c>
      <c r="AN550" t="s">
        <v>3612</v>
      </c>
      <c r="AO550" t="s">
        <v>8050</v>
      </c>
      <c r="AP550" t="s">
        <v>74</v>
      </c>
      <c r="AQ550" t="s">
        <v>74</v>
      </c>
      <c r="AR550" t="s">
        <v>8051</v>
      </c>
      <c r="AS550" t="s">
        <v>8052</v>
      </c>
      <c r="AT550" t="s">
        <v>7577</v>
      </c>
      <c r="AU550">
        <v>2003</v>
      </c>
      <c r="AV550">
        <v>57</v>
      </c>
      <c r="AW550" t="s">
        <v>787</v>
      </c>
      <c r="AX550" t="s">
        <v>74</v>
      </c>
      <c r="AY550" t="s">
        <v>74</v>
      </c>
      <c r="AZ550" t="s">
        <v>74</v>
      </c>
      <c r="BA550" t="s">
        <v>74</v>
      </c>
      <c r="BB550">
        <v>55</v>
      </c>
      <c r="BC550">
        <v>64</v>
      </c>
      <c r="BD550" t="s">
        <v>74</v>
      </c>
      <c r="BE550" t="s">
        <v>8053</v>
      </c>
      <c r="BF550" t="str">
        <f>HYPERLINK("http://dx.doi.org/10.1016/S0272-7714(02)00328-1","http://dx.doi.org/10.1016/S0272-7714(02)00328-1")</f>
        <v>http://dx.doi.org/10.1016/S0272-7714(02)00328-1</v>
      </c>
      <c r="BG550" t="s">
        <v>74</v>
      </c>
      <c r="BH550" t="s">
        <v>74</v>
      </c>
      <c r="BI550">
        <v>10</v>
      </c>
      <c r="BJ550" t="s">
        <v>194</v>
      </c>
      <c r="BK550" t="s">
        <v>94</v>
      </c>
      <c r="BL550" t="s">
        <v>194</v>
      </c>
      <c r="BM550" t="s">
        <v>8054</v>
      </c>
      <c r="BN550" t="s">
        <v>74</v>
      </c>
      <c r="BO550" t="s">
        <v>74</v>
      </c>
      <c r="BP550" t="s">
        <v>74</v>
      </c>
      <c r="BQ550" t="s">
        <v>74</v>
      </c>
      <c r="BR550" t="s">
        <v>97</v>
      </c>
      <c r="BS550" t="s">
        <v>8055</v>
      </c>
      <c r="BT550" t="str">
        <f>HYPERLINK("https%3A%2F%2Fwww.webofscience.com%2Fwos%2Fwoscc%2Ffull-record%2FWOS:000184500300005","View Full Record in Web of Science")</f>
        <v>View Full Record in Web of Science</v>
      </c>
    </row>
    <row r="551" spans="1:72" x14ac:dyDescent="0.15">
      <c r="A551" t="s">
        <v>72</v>
      </c>
      <c r="B551" t="s">
        <v>8056</v>
      </c>
      <c r="C551" t="s">
        <v>74</v>
      </c>
      <c r="D551" t="s">
        <v>74</v>
      </c>
      <c r="E551" t="s">
        <v>74</v>
      </c>
      <c r="F551" t="s">
        <v>8056</v>
      </c>
      <c r="G551" t="s">
        <v>74</v>
      </c>
      <c r="H551" t="s">
        <v>74</v>
      </c>
      <c r="I551" t="s">
        <v>8057</v>
      </c>
      <c r="J551" t="s">
        <v>8058</v>
      </c>
      <c r="K551" t="s">
        <v>74</v>
      </c>
      <c r="L551" t="s">
        <v>74</v>
      </c>
      <c r="M551" t="s">
        <v>77</v>
      </c>
      <c r="N551" t="s">
        <v>78</v>
      </c>
      <c r="O551" t="s">
        <v>74</v>
      </c>
      <c r="P551" t="s">
        <v>74</v>
      </c>
      <c r="Q551" t="s">
        <v>74</v>
      </c>
      <c r="R551" t="s">
        <v>74</v>
      </c>
      <c r="S551" t="s">
        <v>74</v>
      </c>
      <c r="T551" t="s">
        <v>8059</v>
      </c>
      <c r="U551" t="s">
        <v>8060</v>
      </c>
      <c r="V551" t="s">
        <v>8061</v>
      </c>
      <c r="W551" t="s">
        <v>8062</v>
      </c>
      <c r="X551" t="s">
        <v>8063</v>
      </c>
      <c r="Y551" t="s">
        <v>8064</v>
      </c>
      <c r="Z551" t="s">
        <v>74</v>
      </c>
      <c r="AA551" t="s">
        <v>74</v>
      </c>
      <c r="AB551" t="s">
        <v>74</v>
      </c>
      <c r="AC551" t="s">
        <v>74</v>
      </c>
      <c r="AD551" t="s">
        <v>74</v>
      </c>
      <c r="AE551" t="s">
        <v>74</v>
      </c>
      <c r="AF551" t="s">
        <v>74</v>
      </c>
      <c r="AG551">
        <v>43</v>
      </c>
      <c r="AH551">
        <v>43</v>
      </c>
      <c r="AI551">
        <v>52</v>
      </c>
      <c r="AJ551">
        <v>1</v>
      </c>
      <c r="AK551">
        <v>29</v>
      </c>
      <c r="AL551" t="s">
        <v>289</v>
      </c>
      <c r="AM551" t="s">
        <v>170</v>
      </c>
      <c r="AN551" t="s">
        <v>290</v>
      </c>
      <c r="AO551" t="s">
        <v>8065</v>
      </c>
      <c r="AP551" t="s">
        <v>74</v>
      </c>
      <c r="AQ551" t="s">
        <v>74</v>
      </c>
      <c r="AR551" t="s">
        <v>8066</v>
      </c>
      <c r="AS551" t="s">
        <v>8067</v>
      </c>
      <c r="AT551" t="s">
        <v>7577</v>
      </c>
      <c r="AU551">
        <v>2003</v>
      </c>
      <c r="AV551">
        <v>48</v>
      </c>
      <c r="AW551">
        <v>5</v>
      </c>
      <c r="AX551" t="s">
        <v>74</v>
      </c>
      <c r="AY551" t="s">
        <v>74</v>
      </c>
      <c r="AZ551" t="s">
        <v>74</v>
      </c>
      <c r="BA551" t="s">
        <v>74</v>
      </c>
      <c r="BB551">
        <v>841</v>
      </c>
      <c r="BC551">
        <v>851</v>
      </c>
      <c r="BD551" t="s">
        <v>74</v>
      </c>
      <c r="BE551" t="s">
        <v>8068</v>
      </c>
      <c r="BF551" t="str">
        <f>HYPERLINK("http://dx.doi.org/10.1046/j.1365-2427.2003.01052.x","http://dx.doi.org/10.1046/j.1365-2427.2003.01052.x")</f>
        <v>http://dx.doi.org/10.1046/j.1365-2427.2003.01052.x</v>
      </c>
      <c r="BG551" t="s">
        <v>74</v>
      </c>
      <c r="BH551" t="s">
        <v>74</v>
      </c>
      <c r="BI551">
        <v>11</v>
      </c>
      <c r="BJ551" t="s">
        <v>485</v>
      </c>
      <c r="BK551" t="s">
        <v>94</v>
      </c>
      <c r="BL551" t="s">
        <v>486</v>
      </c>
      <c r="BM551" t="s">
        <v>8069</v>
      </c>
      <c r="BN551" t="s">
        <v>74</v>
      </c>
      <c r="BO551" t="s">
        <v>74</v>
      </c>
      <c r="BP551" t="s">
        <v>74</v>
      </c>
      <c r="BQ551" t="s">
        <v>74</v>
      </c>
      <c r="BR551" t="s">
        <v>97</v>
      </c>
      <c r="BS551" t="s">
        <v>8070</v>
      </c>
      <c r="BT551" t="str">
        <f>HYPERLINK("https%3A%2F%2Fwww.webofscience.com%2Fwos%2Fwoscc%2Ffull-record%2FWOS:000182183600008","View Full Record in Web of Science")</f>
        <v>View Full Record in Web of Science</v>
      </c>
    </row>
    <row r="552" spans="1:72" x14ac:dyDescent="0.15">
      <c r="A552" t="s">
        <v>72</v>
      </c>
      <c r="B552" t="s">
        <v>8071</v>
      </c>
      <c r="C552" t="s">
        <v>74</v>
      </c>
      <c r="D552" t="s">
        <v>74</v>
      </c>
      <c r="E552" t="s">
        <v>74</v>
      </c>
      <c r="F552" t="s">
        <v>8071</v>
      </c>
      <c r="G552" t="s">
        <v>74</v>
      </c>
      <c r="H552" t="s">
        <v>74</v>
      </c>
      <c r="I552" t="s">
        <v>8072</v>
      </c>
      <c r="J552" t="s">
        <v>1664</v>
      </c>
      <c r="K552" t="s">
        <v>74</v>
      </c>
      <c r="L552" t="s">
        <v>74</v>
      </c>
      <c r="M552" t="s">
        <v>77</v>
      </c>
      <c r="N552" t="s">
        <v>78</v>
      </c>
      <c r="O552" t="s">
        <v>74</v>
      </c>
      <c r="P552" t="s">
        <v>74</v>
      </c>
      <c r="Q552" t="s">
        <v>74</v>
      </c>
      <c r="R552" t="s">
        <v>74</v>
      </c>
      <c r="S552" t="s">
        <v>74</v>
      </c>
      <c r="T552" t="s">
        <v>74</v>
      </c>
      <c r="U552" t="s">
        <v>8073</v>
      </c>
      <c r="V552" t="s">
        <v>8074</v>
      </c>
      <c r="W552" t="s">
        <v>8075</v>
      </c>
      <c r="X552" t="s">
        <v>8076</v>
      </c>
      <c r="Y552" t="s">
        <v>8077</v>
      </c>
      <c r="Z552" t="s">
        <v>8078</v>
      </c>
      <c r="AA552" t="s">
        <v>8079</v>
      </c>
      <c r="AB552" t="s">
        <v>8080</v>
      </c>
      <c r="AC552" t="s">
        <v>74</v>
      </c>
      <c r="AD552" t="s">
        <v>74</v>
      </c>
      <c r="AE552" t="s">
        <v>74</v>
      </c>
      <c r="AF552" t="s">
        <v>74</v>
      </c>
      <c r="AG552">
        <v>61</v>
      </c>
      <c r="AH552">
        <v>96</v>
      </c>
      <c r="AI552">
        <v>107</v>
      </c>
      <c r="AJ552">
        <v>0</v>
      </c>
      <c r="AK552">
        <v>18</v>
      </c>
      <c r="AL552" t="s">
        <v>169</v>
      </c>
      <c r="AM552" t="s">
        <v>170</v>
      </c>
      <c r="AN552" t="s">
        <v>171</v>
      </c>
      <c r="AO552" t="s">
        <v>1673</v>
      </c>
      <c r="AP552" t="s">
        <v>1674</v>
      </c>
      <c r="AQ552" t="s">
        <v>74</v>
      </c>
      <c r="AR552" t="s">
        <v>1675</v>
      </c>
      <c r="AS552" t="s">
        <v>1676</v>
      </c>
      <c r="AT552" t="s">
        <v>7577</v>
      </c>
      <c r="AU552">
        <v>2003</v>
      </c>
      <c r="AV552">
        <v>67</v>
      </c>
      <c r="AW552">
        <v>9</v>
      </c>
      <c r="AX552" t="s">
        <v>74</v>
      </c>
      <c r="AY552" t="s">
        <v>74</v>
      </c>
      <c r="AZ552" t="s">
        <v>74</v>
      </c>
      <c r="BA552" t="s">
        <v>74</v>
      </c>
      <c r="BB552">
        <v>1609</v>
      </c>
      <c r="BC552">
        <v>1621</v>
      </c>
      <c r="BD552" t="s">
        <v>8081</v>
      </c>
      <c r="BE552" t="s">
        <v>8082</v>
      </c>
      <c r="BF552" t="str">
        <f>HYPERLINK("http://dx.doi.org/10.1016/S0016-7037(02)00917-1","http://dx.doi.org/10.1016/S0016-7037(02)00917-1")</f>
        <v>http://dx.doi.org/10.1016/S0016-7037(02)00917-1</v>
      </c>
      <c r="BG552" t="s">
        <v>74</v>
      </c>
      <c r="BH552" t="s">
        <v>74</v>
      </c>
      <c r="BI552">
        <v>13</v>
      </c>
      <c r="BJ552" t="s">
        <v>176</v>
      </c>
      <c r="BK552" t="s">
        <v>94</v>
      </c>
      <c r="BL552" t="s">
        <v>176</v>
      </c>
      <c r="BM552" t="s">
        <v>8083</v>
      </c>
      <c r="BN552" t="s">
        <v>74</v>
      </c>
      <c r="BO552" t="s">
        <v>74</v>
      </c>
      <c r="BP552" t="s">
        <v>74</v>
      </c>
      <c r="BQ552" t="s">
        <v>74</v>
      </c>
      <c r="BR552" t="s">
        <v>97</v>
      </c>
      <c r="BS552" t="s">
        <v>8084</v>
      </c>
      <c r="BT552" t="str">
        <f>HYPERLINK("https%3A%2F%2Fwww.webofscience.com%2Fwos%2Fwoscc%2Ffull-record%2FWOS:000182589900002","View Full Record in Web of Science")</f>
        <v>View Full Record in Web of Science</v>
      </c>
    </row>
    <row r="553" spans="1:72" x14ac:dyDescent="0.15">
      <c r="A553" t="s">
        <v>72</v>
      </c>
      <c r="B553" t="s">
        <v>8085</v>
      </c>
      <c r="C553" t="s">
        <v>74</v>
      </c>
      <c r="D553" t="s">
        <v>74</v>
      </c>
      <c r="E553" t="s">
        <v>74</v>
      </c>
      <c r="F553" t="s">
        <v>8085</v>
      </c>
      <c r="G553" t="s">
        <v>74</v>
      </c>
      <c r="H553" t="s">
        <v>74</v>
      </c>
      <c r="I553" t="s">
        <v>8086</v>
      </c>
      <c r="J553" t="s">
        <v>1664</v>
      </c>
      <c r="K553" t="s">
        <v>74</v>
      </c>
      <c r="L553" t="s">
        <v>74</v>
      </c>
      <c r="M553" t="s">
        <v>77</v>
      </c>
      <c r="N553" t="s">
        <v>78</v>
      </c>
      <c r="O553" t="s">
        <v>74</v>
      </c>
      <c r="P553" t="s">
        <v>74</v>
      </c>
      <c r="Q553" t="s">
        <v>74</v>
      </c>
      <c r="R553" t="s">
        <v>74</v>
      </c>
      <c r="S553" t="s">
        <v>74</v>
      </c>
      <c r="T553" t="s">
        <v>74</v>
      </c>
      <c r="U553" t="s">
        <v>8087</v>
      </c>
      <c r="V553" t="s">
        <v>8088</v>
      </c>
      <c r="W553" t="s">
        <v>8089</v>
      </c>
      <c r="X553" t="s">
        <v>8090</v>
      </c>
      <c r="Y553" t="s">
        <v>8091</v>
      </c>
      <c r="Z553" t="s">
        <v>74</v>
      </c>
      <c r="AA553" t="s">
        <v>8092</v>
      </c>
      <c r="AB553" t="s">
        <v>74</v>
      </c>
      <c r="AC553" t="s">
        <v>74</v>
      </c>
      <c r="AD553" t="s">
        <v>74</v>
      </c>
      <c r="AE553" t="s">
        <v>74</v>
      </c>
      <c r="AF553" t="s">
        <v>74</v>
      </c>
      <c r="AG553">
        <v>91</v>
      </c>
      <c r="AH553">
        <v>71</v>
      </c>
      <c r="AI553">
        <v>80</v>
      </c>
      <c r="AJ553">
        <v>0</v>
      </c>
      <c r="AK553">
        <v>29</v>
      </c>
      <c r="AL553" t="s">
        <v>169</v>
      </c>
      <c r="AM553" t="s">
        <v>170</v>
      </c>
      <c r="AN553" t="s">
        <v>171</v>
      </c>
      <c r="AO553" t="s">
        <v>1673</v>
      </c>
      <c r="AP553" t="s">
        <v>74</v>
      </c>
      <c r="AQ553" t="s">
        <v>74</v>
      </c>
      <c r="AR553" t="s">
        <v>1675</v>
      </c>
      <c r="AS553" t="s">
        <v>1676</v>
      </c>
      <c r="AT553" t="s">
        <v>7577</v>
      </c>
      <c r="AU553">
        <v>2003</v>
      </c>
      <c r="AV553">
        <v>67</v>
      </c>
      <c r="AW553">
        <v>10</v>
      </c>
      <c r="AX553" t="s">
        <v>74</v>
      </c>
      <c r="AY553" t="s">
        <v>74</v>
      </c>
      <c r="AZ553" t="s">
        <v>74</v>
      </c>
      <c r="BA553" t="s">
        <v>74</v>
      </c>
      <c r="BB553">
        <v>1911</v>
      </c>
      <c r="BC553">
        <v>1934</v>
      </c>
      <c r="BD553" t="s">
        <v>74</v>
      </c>
      <c r="BE553" t="s">
        <v>8093</v>
      </c>
      <c r="BF553" t="str">
        <f>HYPERLINK("http://dx.doi.org/10.1016/S0016-7037(02)01411-4","http://dx.doi.org/10.1016/S0016-7037(02)01411-4")</f>
        <v>http://dx.doi.org/10.1016/S0016-7037(02)01411-4</v>
      </c>
      <c r="BG553" t="s">
        <v>74</v>
      </c>
      <c r="BH553" t="s">
        <v>74</v>
      </c>
      <c r="BI553">
        <v>24</v>
      </c>
      <c r="BJ553" t="s">
        <v>176</v>
      </c>
      <c r="BK553" t="s">
        <v>94</v>
      </c>
      <c r="BL553" t="s">
        <v>176</v>
      </c>
      <c r="BM553" t="s">
        <v>8094</v>
      </c>
      <c r="BN553" t="s">
        <v>74</v>
      </c>
      <c r="BO553" t="s">
        <v>74</v>
      </c>
      <c r="BP553" t="s">
        <v>74</v>
      </c>
      <c r="BQ553" t="s">
        <v>74</v>
      </c>
      <c r="BR553" t="s">
        <v>97</v>
      </c>
      <c r="BS553" t="s">
        <v>8095</v>
      </c>
      <c r="BT553" t="str">
        <f>HYPERLINK("https%3A%2F%2Fwww.webofscience.com%2Fwos%2Fwoscc%2Ffull-record%2FWOS:000182881700011","View Full Record in Web of Science")</f>
        <v>View Full Record in Web of Science</v>
      </c>
    </row>
    <row r="554" spans="1:72" x14ac:dyDescent="0.15">
      <c r="A554" t="s">
        <v>72</v>
      </c>
      <c r="B554" t="s">
        <v>8096</v>
      </c>
      <c r="C554" t="s">
        <v>74</v>
      </c>
      <c r="D554" t="s">
        <v>74</v>
      </c>
      <c r="E554" t="s">
        <v>74</v>
      </c>
      <c r="F554" t="s">
        <v>8096</v>
      </c>
      <c r="G554" t="s">
        <v>74</v>
      </c>
      <c r="H554" t="s">
        <v>74</v>
      </c>
      <c r="I554" t="s">
        <v>8097</v>
      </c>
      <c r="J554" t="s">
        <v>3557</v>
      </c>
      <c r="K554" t="s">
        <v>74</v>
      </c>
      <c r="L554" t="s">
        <v>74</v>
      </c>
      <c r="M554" t="s">
        <v>77</v>
      </c>
      <c r="N554" t="s">
        <v>78</v>
      </c>
      <c r="O554" t="s">
        <v>74</v>
      </c>
      <c r="P554" t="s">
        <v>74</v>
      </c>
      <c r="Q554" t="s">
        <v>74</v>
      </c>
      <c r="R554" t="s">
        <v>74</v>
      </c>
      <c r="S554" t="s">
        <v>74</v>
      </c>
      <c r="T554" t="s">
        <v>8098</v>
      </c>
      <c r="U554" t="s">
        <v>8099</v>
      </c>
      <c r="V554" t="s">
        <v>8100</v>
      </c>
      <c r="W554" t="s">
        <v>8101</v>
      </c>
      <c r="X554" t="s">
        <v>8102</v>
      </c>
      <c r="Y554" t="s">
        <v>8103</v>
      </c>
      <c r="Z554" t="s">
        <v>74</v>
      </c>
      <c r="AA554" t="s">
        <v>8104</v>
      </c>
      <c r="AB554" t="s">
        <v>8105</v>
      </c>
      <c r="AC554" t="s">
        <v>74</v>
      </c>
      <c r="AD554" t="s">
        <v>74</v>
      </c>
      <c r="AE554" t="s">
        <v>74</v>
      </c>
      <c r="AF554" t="s">
        <v>74</v>
      </c>
      <c r="AG554">
        <v>71</v>
      </c>
      <c r="AH554">
        <v>64</v>
      </c>
      <c r="AI554">
        <v>75</v>
      </c>
      <c r="AJ554">
        <v>0</v>
      </c>
      <c r="AK554">
        <v>27</v>
      </c>
      <c r="AL554" t="s">
        <v>8106</v>
      </c>
      <c r="AM554" t="s">
        <v>8107</v>
      </c>
      <c r="AN554" t="s">
        <v>8108</v>
      </c>
      <c r="AO554" t="s">
        <v>3565</v>
      </c>
      <c r="AP554" t="s">
        <v>74</v>
      </c>
      <c r="AQ554" t="s">
        <v>74</v>
      </c>
      <c r="AR554" t="s">
        <v>3567</v>
      </c>
      <c r="AS554" t="s">
        <v>3568</v>
      </c>
      <c r="AT554" t="s">
        <v>7577</v>
      </c>
      <c r="AU554">
        <v>2003</v>
      </c>
      <c r="AV554">
        <v>115</v>
      </c>
      <c r="AW554">
        <v>5</v>
      </c>
      <c r="AX554" t="s">
        <v>74</v>
      </c>
      <c r="AY554" t="s">
        <v>74</v>
      </c>
      <c r="AZ554" t="s">
        <v>74</v>
      </c>
      <c r="BA554" t="s">
        <v>74</v>
      </c>
      <c r="BB554">
        <v>607</v>
      </c>
      <c r="BC554">
        <v>623</v>
      </c>
      <c r="BD554" t="s">
        <v>74</v>
      </c>
      <c r="BE554" t="s">
        <v>8109</v>
      </c>
      <c r="BF554" t="str">
        <f>HYPERLINK("http://dx.doi.org/10.1130/0016-7606(2003)115&lt;0607:ETMMBA&gt;2.0.CO;2","http://dx.doi.org/10.1130/0016-7606(2003)115&lt;0607:ETMMBA&gt;2.0.CO;2")</f>
        <v>http://dx.doi.org/10.1130/0016-7606(2003)115&lt;0607:ETMMBA&gt;2.0.CO;2</v>
      </c>
      <c r="BG554" t="s">
        <v>74</v>
      </c>
      <c r="BH554" t="s">
        <v>74</v>
      </c>
      <c r="BI554">
        <v>17</v>
      </c>
      <c r="BJ554" t="s">
        <v>548</v>
      </c>
      <c r="BK554" t="s">
        <v>94</v>
      </c>
      <c r="BL554" t="s">
        <v>549</v>
      </c>
      <c r="BM554" t="s">
        <v>8110</v>
      </c>
      <c r="BN554" t="s">
        <v>74</v>
      </c>
      <c r="BO554" t="s">
        <v>1767</v>
      </c>
      <c r="BP554" t="s">
        <v>74</v>
      </c>
      <c r="BQ554" t="s">
        <v>74</v>
      </c>
      <c r="BR554" t="s">
        <v>97</v>
      </c>
      <c r="BS554" t="s">
        <v>8111</v>
      </c>
      <c r="BT554" t="str">
        <f>HYPERLINK("https%3A%2F%2Fwww.webofscience.com%2Fwos%2Fwoscc%2Ffull-record%2FWOS:000182526700007","View Full Record in Web of Science")</f>
        <v>View Full Record in Web of Science</v>
      </c>
    </row>
    <row r="555" spans="1:72" x14ac:dyDescent="0.15">
      <c r="A555" t="s">
        <v>72</v>
      </c>
      <c r="B555" t="s">
        <v>8112</v>
      </c>
      <c r="C555" t="s">
        <v>74</v>
      </c>
      <c r="D555" t="s">
        <v>74</v>
      </c>
      <c r="E555" t="s">
        <v>74</v>
      </c>
      <c r="F555" t="s">
        <v>8112</v>
      </c>
      <c r="G555" t="s">
        <v>74</v>
      </c>
      <c r="H555" t="s">
        <v>74</v>
      </c>
      <c r="I555" t="s">
        <v>8113</v>
      </c>
      <c r="J555" t="s">
        <v>1738</v>
      </c>
      <c r="K555" t="s">
        <v>74</v>
      </c>
      <c r="L555" t="s">
        <v>74</v>
      </c>
      <c r="M555" t="s">
        <v>77</v>
      </c>
      <c r="N555" t="s">
        <v>78</v>
      </c>
      <c r="O555" t="s">
        <v>74</v>
      </c>
      <c r="P555" t="s">
        <v>74</v>
      </c>
      <c r="Q555" t="s">
        <v>74</v>
      </c>
      <c r="R555" t="s">
        <v>74</v>
      </c>
      <c r="S555" t="s">
        <v>74</v>
      </c>
      <c r="T555" t="s">
        <v>8114</v>
      </c>
      <c r="U555" t="s">
        <v>8115</v>
      </c>
      <c r="V555" t="s">
        <v>8116</v>
      </c>
      <c r="W555" t="s">
        <v>8117</v>
      </c>
      <c r="X555" t="s">
        <v>8118</v>
      </c>
      <c r="Y555" t="s">
        <v>8119</v>
      </c>
      <c r="Z555" t="s">
        <v>74</v>
      </c>
      <c r="AA555" t="s">
        <v>8120</v>
      </c>
      <c r="AB555" t="s">
        <v>8121</v>
      </c>
      <c r="AC555" t="s">
        <v>74</v>
      </c>
      <c r="AD555" t="s">
        <v>74</v>
      </c>
      <c r="AE555" t="s">
        <v>74</v>
      </c>
      <c r="AF555" t="s">
        <v>74</v>
      </c>
      <c r="AG555">
        <v>22</v>
      </c>
      <c r="AH555">
        <v>32</v>
      </c>
      <c r="AI555">
        <v>38</v>
      </c>
      <c r="AJ555">
        <v>0</v>
      </c>
      <c r="AK555">
        <v>19</v>
      </c>
      <c r="AL555" t="s">
        <v>1765</v>
      </c>
      <c r="AM555" t="s">
        <v>1748</v>
      </c>
      <c r="AN555" t="s">
        <v>1749</v>
      </c>
      <c r="AO555" t="s">
        <v>1750</v>
      </c>
      <c r="AP555" t="s">
        <v>74</v>
      </c>
      <c r="AQ555" t="s">
        <v>74</v>
      </c>
      <c r="AR555" t="s">
        <v>1738</v>
      </c>
      <c r="AS555" t="s">
        <v>549</v>
      </c>
      <c r="AT555" t="s">
        <v>7577</v>
      </c>
      <c r="AU555">
        <v>2003</v>
      </c>
      <c r="AV555">
        <v>31</v>
      </c>
      <c r="AW555">
        <v>5</v>
      </c>
      <c r="AX555" t="s">
        <v>74</v>
      </c>
      <c r="AY555" t="s">
        <v>74</v>
      </c>
      <c r="AZ555" t="s">
        <v>74</v>
      </c>
      <c r="BA555" t="s">
        <v>74</v>
      </c>
      <c r="BB555">
        <v>399</v>
      </c>
      <c r="BC555">
        <v>402</v>
      </c>
      <c r="BD555" t="s">
        <v>74</v>
      </c>
      <c r="BE555" t="s">
        <v>8122</v>
      </c>
      <c r="BF555" t="str">
        <f>HYPERLINK("http://dx.doi.org/10.1130/0091-7613(2003)031&lt;0399:PEFMDD&gt;2.0.CO;2","http://dx.doi.org/10.1130/0091-7613(2003)031&lt;0399:PEFMDD&gt;2.0.CO;2")</f>
        <v>http://dx.doi.org/10.1130/0091-7613(2003)031&lt;0399:PEFMDD&gt;2.0.CO;2</v>
      </c>
      <c r="BG555" t="s">
        <v>74</v>
      </c>
      <c r="BH555" t="s">
        <v>74</v>
      </c>
      <c r="BI555">
        <v>4</v>
      </c>
      <c r="BJ555" t="s">
        <v>549</v>
      </c>
      <c r="BK555" t="s">
        <v>94</v>
      </c>
      <c r="BL555" t="s">
        <v>549</v>
      </c>
      <c r="BM555" t="s">
        <v>8123</v>
      </c>
      <c r="BN555" t="s">
        <v>74</v>
      </c>
      <c r="BO555" t="s">
        <v>74</v>
      </c>
      <c r="BP555" t="s">
        <v>74</v>
      </c>
      <c r="BQ555" t="s">
        <v>74</v>
      </c>
      <c r="BR555" t="s">
        <v>97</v>
      </c>
      <c r="BS555" t="s">
        <v>8124</v>
      </c>
      <c r="BT555" t="str">
        <f>HYPERLINK("https%3A%2F%2Fwww.webofscience.com%2Fwos%2Fwoscc%2Ffull-record%2FWOS:000182519200026","View Full Record in Web of Science")</f>
        <v>View Full Record in Web of Science</v>
      </c>
    </row>
    <row r="556" spans="1:72" x14ac:dyDescent="0.15">
      <c r="A556" t="s">
        <v>72</v>
      </c>
      <c r="B556" t="s">
        <v>8125</v>
      </c>
      <c r="C556" t="s">
        <v>74</v>
      </c>
      <c r="D556" t="s">
        <v>74</v>
      </c>
      <c r="E556" t="s">
        <v>74</v>
      </c>
      <c r="F556" t="s">
        <v>8125</v>
      </c>
      <c r="G556" t="s">
        <v>74</v>
      </c>
      <c r="H556" t="s">
        <v>74</v>
      </c>
      <c r="I556" t="s">
        <v>8126</v>
      </c>
      <c r="J556" t="s">
        <v>1847</v>
      </c>
      <c r="K556" t="s">
        <v>74</v>
      </c>
      <c r="L556" t="s">
        <v>74</v>
      </c>
      <c r="M556" t="s">
        <v>77</v>
      </c>
      <c r="N556" t="s">
        <v>78</v>
      </c>
      <c r="O556" t="s">
        <v>74</v>
      </c>
      <c r="P556" t="s">
        <v>74</v>
      </c>
      <c r="Q556" t="s">
        <v>74</v>
      </c>
      <c r="R556" t="s">
        <v>74</v>
      </c>
      <c r="S556" t="s">
        <v>74</v>
      </c>
      <c r="T556" t="s">
        <v>8127</v>
      </c>
      <c r="U556" t="s">
        <v>8128</v>
      </c>
      <c r="V556" t="s">
        <v>8129</v>
      </c>
      <c r="W556" t="s">
        <v>8130</v>
      </c>
      <c r="X556" t="s">
        <v>8131</v>
      </c>
      <c r="Y556" t="s">
        <v>8132</v>
      </c>
      <c r="Z556" t="s">
        <v>74</v>
      </c>
      <c r="AA556" t="s">
        <v>74</v>
      </c>
      <c r="AB556" t="s">
        <v>74</v>
      </c>
      <c r="AC556" t="s">
        <v>74</v>
      </c>
      <c r="AD556" t="s">
        <v>74</v>
      </c>
      <c r="AE556" t="s">
        <v>74</v>
      </c>
      <c r="AF556" t="s">
        <v>74</v>
      </c>
      <c r="AG556">
        <v>43</v>
      </c>
      <c r="AH556">
        <v>15</v>
      </c>
      <c r="AI556">
        <v>18</v>
      </c>
      <c r="AJ556">
        <v>1</v>
      </c>
      <c r="AK556">
        <v>8</v>
      </c>
      <c r="AL556" t="s">
        <v>289</v>
      </c>
      <c r="AM556" t="s">
        <v>170</v>
      </c>
      <c r="AN556" t="s">
        <v>290</v>
      </c>
      <c r="AO556" t="s">
        <v>1857</v>
      </c>
      <c r="AP556" t="s">
        <v>74</v>
      </c>
      <c r="AQ556" t="s">
        <v>74</v>
      </c>
      <c r="AR556" t="s">
        <v>1859</v>
      </c>
      <c r="AS556" t="s">
        <v>1860</v>
      </c>
      <c r="AT556" t="s">
        <v>7577</v>
      </c>
      <c r="AU556">
        <v>2003</v>
      </c>
      <c r="AV556">
        <v>153</v>
      </c>
      <c r="AW556">
        <v>2</v>
      </c>
      <c r="AX556" t="s">
        <v>74</v>
      </c>
      <c r="AY556" t="s">
        <v>74</v>
      </c>
      <c r="AZ556" t="s">
        <v>74</v>
      </c>
      <c r="BA556" t="s">
        <v>74</v>
      </c>
      <c r="BB556">
        <v>483</v>
      </c>
      <c r="BC556">
        <v>496</v>
      </c>
      <c r="BD556" t="s">
        <v>74</v>
      </c>
      <c r="BE556" t="s">
        <v>8133</v>
      </c>
      <c r="BF556" t="str">
        <f>HYPERLINK("http://dx.doi.org/10.1046/j.1365-246X.2003.01916.x","http://dx.doi.org/10.1046/j.1365-246X.2003.01916.x")</f>
        <v>http://dx.doi.org/10.1046/j.1365-246X.2003.01916.x</v>
      </c>
      <c r="BG556" t="s">
        <v>74</v>
      </c>
      <c r="BH556" t="s">
        <v>74</v>
      </c>
      <c r="BI556">
        <v>14</v>
      </c>
      <c r="BJ556" t="s">
        <v>176</v>
      </c>
      <c r="BK556" t="s">
        <v>94</v>
      </c>
      <c r="BL556" t="s">
        <v>176</v>
      </c>
      <c r="BM556" t="s">
        <v>8134</v>
      </c>
      <c r="BN556" t="s">
        <v>74</v>
      </c>
      <c r="BO556" t="s">
        <v>96</v>
      </c>
      <c r="BP556" t="s">
        <v>74</v>
      </c>
      <c r="BQ556" t="s">
        <v>74</v>
      </c>
      <c r="BR556" t="s">
        <v>97</v>
      </c>
      <c r="BS556" t="s">
        <v>8135</v>
      </c>
      <c r="BT556" t="str">
        <f>HYPERLINK("https%3A%2F%2Fwww.webofscience.com%2Fwos%2Fwoscc%2Ffull-record%2FWOS:000182281200013","View Full Record in Web of Science")</f>
        <v>View Full Record in Web of Science</v>
      </c>
    </row>
    <row r="557" spans="1:72" x14ac:dyDescent="0.15">
      <c r="A557" t="s">
        <v>72</v>
      </c>
      <c r="B557" t="s">
        <v>8136</v>
      </c>
      <c r="C557" t="s">
        <v>74</v>
      </c>
      <c r="D557" t="s">
        <v>74</v>
      </c>
      <c r="E557" t="s">
        <v>74</v>
      </c>
      <c r="F557" t="s">
        <v>8136</v>
      </c>
      <c r="G557" t="s">
        <v>74</v>
      </c>
      <c r="H557" t="s">
        <v>74</v>
      </c>
      <c r="I557" t="s">
        <v>8137</v>
      </c>
      <c r="J557" t="s">
        <v>8138</v>
      </c>
      <c r="K557" t="s">
        <v>74</v>
      </c>
      <c r="L557" t="s">
        <v>74</v>
      </c>
      <c r="M557" t="s">
        <v>77</v>
      </c>
      <c r="N557" t="s">
        <v>78</v>
      </c>
      <c r="O557" t="s">
        <v>74</v>
      </c>
      <c r="P557" t="s">
        <v>74</v>
      </c>
      <c r="Q557" t="s">
        <v>74</v>
      </c>
      <c r="R557" t="s">
        <v>74</v>
      </c>
      <c r="S557" t="s">
        <v>74</v>
      </c>
      <c r="T557" t="s">
        <v>8139</v>
      </c>
      <c r="U557" t="s">
        <v>8140</v>
      </c>
      <c r="V557" t="s">
        <v>8141</v>
      </c>
      <c r="W557" t="s">
        <v>8142</v>
      </c>
      <c r="X557" t="s">
        <v>8143</v>
      </c>
      <c r="Y557" t="s">
        <v>8144</v>
      </c>
      <c r="Z557" t="s">
        <v>8145</v>
      </c>
      <c r="AA557" t="s">
        <v>8146</v>
      </c>
      <c r="AB557" t="s">
        <v>74</v>
      </c>
      <c r="AC557" t="s">
        <v>74</v>
      </c>
      <c r="AD557" t="s">
        <v>74</v>
      </c>
      <c r="AE557" t="s">
        <v>74</v>
      </c>
      <c r="AF557" t="s">
        <v>74</v>
      </c>
      <c r="AG557">
        <v>27</v>
      </c>
      <c r="AH557">
        <v>25</v>
      </c>
      <c r="AI557">
        <v>28</v>
      </c>
      <c r="AJ557">
        <v>0</v>
      </c>
      <c r="AK557">
        <v>8</v>
      </c>
      <c r="AL557" t="s">
        <v>781</v>
      </c>
      <c r="AM557" t="s">
        <v>111</v>
      </c>
      <c r="AN557" t="s">
        <v>782</v>
      </c>
      <c r="AO557" t="s">
        <v>8147</v>
      </c>
      <c r="AP557" t="s">
        <v>8148</v>
      </c>
      <c r="AQ557" t="s">
        <v>74</v>
      </c>
      <c r="AR557" t="s">
        <v>8149</v>
      </c>
      <c r="AS557" t="s">
        <v>8150</v>
      </c>
      <c r="AT557" t="s">
        <v>7577</v>
      </c>
      <c r="AU557">
        <v>2003</v>
      </c>
      <c r="AV557">
        <v>36</v>
      </c>
      <c r="AW557">
        <v>4</v>
      </c>
      <c r="AX557" t="s">
        <v>74</v>
      </c>
      <c r="AY557" t="s">
        <v>74</v>
      </c>
      <c r="AZ557" t="s">
        <v>74</v>
      </c>
      <c r="BA557" t="s">
        <v>74</v>
      </c>
      <c r="BB557">
        <v>265</v>
      </c>
      <c r="BC557">
        <v>276</v>
      </c>
      <c r="BD557" t="s">
        <v>74</v>
      </c>
      <c r="BE557" t="s">
        <v>8151</v>
      </c>
      <c r="BF557" t="str">
        <f>HYPERLINK("http://dx.doi.org/10.1016/S0921-8181(02)00221-7","http://dx.doi.org/10.1016/S0921-8181(02)00221-7")</f>
        <v>http://dx.doi.org/10.1016/S0921-8181(02)00221-7</v>
      </c>
      <c r="BG557" t="s">
        <v>74</v>
      </c>
      <c r="BH557" t="s">
        <v>74</v>
      </c>
      <c r="BI557">
        <v>12</v>
      </c>
      <c r="BJ557" t="s">
        <v>1433</v>
      </c>
      <c r="BK557" t="s">
        <v>94</v>
      </c>
      <c r="BL557" t="s">
        <v>1434</v>
      </c>
      <c r="BM557" t="s">
        <v>8152</v>
      </c>
      <c r="BN557" t="s">
        <v>74</v>
      </c>
      <c r="BO557" t="s">
        <v>74</v>
      </c>
      <c r="BP557" t="s">
        <v>74</v>
      </c>
      <c r="BQ557" t="s">
        <v>74</v>
      </c>
      <c r="BR557" t="s">
        <v>97</v>
      </c>
      <c r="BS557" t="s">
        <v>8153</v>
      </c>
      <c r="BT557" t="str">
        <f>HYPERLINK("https%3A%2F%2Fwww.webofscience.com%2Fwos%2Fwoscc%2Ffull-record%2FWOS:000182572000003","View Full Record in Web of Science")</f>
        <v>View Full Record in Web of Science</v>
      </c>
    </row>
    <row r="558" spans="1:72" x14ac:dyDescent="0.15">
      <c r="A558" t="s">
        <v>72</v>
      </c>
      <c r="B558" t="s">
        <v>8154</v>
      </c>
      <c r="C558" t="s">
        <v>74</v>
      </c>
      <c r="D558" t="s">
        <v>74</v>
      </c>
      <c r="E558" t="s">
        <v>74</v>
      </c>
      <c r="F558" t="s">
        <v>8154</v>
      </c>
      <c r="G558" t="s">
        <v>74</v>
      </c>
      <c r="H558" t="s">
        <v>74</v>
      </c>
      <c r="I558" t="s">
        <v>8155</v>
      </c>
      <c r="J558" t="s">
        <v>3622</v>
      </c>
      <c r="K558" t="s">
        <v>74</v>
      </c>
      <c r="L558" t="s">
        <v>74</v>
      </c>
      <c r="M558" t="s">
        <v>77</v>
      </c>
      <c r="N558" t="s">
        <v>78</v>
      </c>
      <c r="O558" t="s">
        <v>74</v>
      </c>
      <c r="P558" t="s">
        <v>74</v>
      </c>
      <c r="Q558" t="s">
        <v>74</v>
      </c>
      <c r="R558" t="s">
        <v>74</v>
      </c>
      <c r="S558" t="s">
        <v>74</v>
      </c>
      <c r="T558" t="s">
        <v>8156</v>
      </c>
      <c r="U558" t="s">
        <v>8157</v>
      </c>
      <c r="V558" t="s">
        <v>8158</v>
      </c>
      <c r="W558" t="s">
        <v>8159</v>
      </c>
      <c r="X558" t="s">
        <v>8160</v>
      </c>
      <c r="Y558" t="s">
        <v>8161</v>
      </c>
      <c r="Z558" t="s">
        <v>74</v>
      </c>
      <c r="AA558" t="s">
        <v>74</v>
      </c>
      <c r="AB558" t="s">
        <v>74</v>
      </c>
      <c r="AC558" t="s">
        <v>74</v>
      </c>
      <c r="AD558" t="s">
        <v>74</v>
      </c>
      <c r="AE558" t="s">
        <v>74</v>
      </c>
      <c r="AF558" t="s">
        <v>74</v>
      </c>
      <c r="AG558">
        <v>36</v>
      </c>
      <c r="AH558">
        <v>47</v>
      </c>
      <c r="AI558">
        <v>60</v>
      </c>
      <c r="AJ558">
        <v>1</v>
      </c>
      <c r="AK558">
        <v>12</v>
      </c>
      <c r="AL558" t="s">
        <v>3631</v>
      </c>
      <c r="AM558" t="s">
        <v>3632</v>
      </c>
      <c r="AN558" t="s">
        <v>3633</v>
      </c>
      <c r="AO558" t="s">
        <v>3634</v>
      </c>
      <c r="AP558" t="s">
        <v>74</v>
      </c>
      <c r="AQ558" t="s">
        <v>74</v>
      </c>
      <c r="AR558" t="s">
        <v>3635</v>
      </c>
      <c r="AS558" t="s">
        <v>3636</v>
      </c>
      <c r="AT558" t="s">
        <v>7577</v>
      </c>
      <c r="AU558">
        <v>2003</v>
      </c>
      <c r="AV558">
        <v>41</v>
      </c>
      <c r="AW558">
        <v>5</v>
      </c>
      <c r="AX558">
        <v>1</v>
      </c>
      <c r="AY558" t="s">
        <v>74</v>
      </c>
      <c r="AZ558" t="s">
        <v>74</v>
      </c>
      <c r="BA558" t="s">
        <v>74</v>
      </c>
      <c r="BB558">
        <v>1062</v>
      </c>
      <c r="BC558">
        <v>1074</v>
      </c>
      <c r="BD558" t="s">
        <v>74</v>
      </c>
      <c r="BE558" t="s">
        <v>8162</v>
      </c>
      <c r="BF558" t="str">
        <f>HYPERLINK("http://dx.doi.org/10.1109/TGRS.2003.811814","http://dx.doi.org/10.1109/TGRS.2003.811814")</f>
        <v>http://dx.doi.org/10.1109/TGRS.2003.811814</v>
      </c>
      <c r="BG558" t="s">
        <v>74</v>
      </c>
      <c r="BH558" t="s">
        <v>74</v>
      </c>
      <c r="BI558">
        <v>13</v>
      </c>
      <c r="BJ558" t="s">
        <v>3638</v>
      </c>
      <c r="BK558" t="s">
        <v>94</v>
      </c>
      <c r="BL558" t="s">
        <v>3639</v>
      </c>
      <c r="BM558" t="s">
        <v>8163</v>
      </c>
      <c r="BN558" t="s">
        <v>74</v>
      </c>
      <c r="BO558" t="s">
        <v>74</v>
      </c>
      <c r="BP558" t="s">
        <v>74</v>
      </c>
      <c r="BQ558" t="s">
        <v>74</v>
      </c>
      <c r="BR558" t="s">
        <v>97</v>
      </c>
      <c r="BS558" t="s">
        <v>8164</v>
      </c>
      <c r="BT558" t="str">
        <f>HYPERLINK("https%3A%2F%2Fwww.webofscience.com%2Fwos%2Fwoscc%2Ffull-record%2FWOS:000183670000014","View Full Record in Web of Science")</f>
        <v>View Full Record in Web of Science</v>
      </c>
    </row>
    <row r="559" spans="1:72" x14ac:dyDescent="0.15">
      <c r="A559" t="s">
        <v>72</v>
      </c>
      <c r="B559" t="s">
        <v>8165</v>
      </c>
      <c r="C559" t="s">
        <v>74</v>
      </c>
      <c r="D559" t="s">
        <v>74</v>
      </c>
      <c r="E559" t="s">
        <v>74</v>
      </c>
      <c r="F559" t="s">
        <v>8165</v>
      </c>
      <c r="G559" t="s">
        <v>74</v>
      </c>
      <c r="H559" t="s">
        <v>74</v>
      </c>
      <c r="I559" t="s">
        <v>8166</v>
      </c>
      <c r="J559" t="s">
        <v>8167</v>
      </c>
      <c r="K559" t="s">
        <v>74</v>
      </c>
      <c r="L559" t="s">
        <v>74</v>
      </c>
      <c r="M559" t="s">
        <v>77</v>
      </c>
      <c r="N559" t="s">
        <v>78</v>
      </c>
      <c r="O559" t="s">
        <v>74</v>
      </c>
      <c r="P559" t="s">
        <v>74</v>
      </c>
      <c r="Q559" t="s">
        <v>74</v>
      </c>
      <c r="R559" t="s">
        <v>74</v>
      </c>
      <c r="S559" t="s">
        <v>74</v>
      </c>
      <c r="T559" t="s">
        <v>74</v>
      </c>
      <c r="U559" t="s">
        <v>8168</v>
      </c>
      <c r="V559" t="s">
        <v>8169</v>
      </c>
      <c r="W559" t="s">
        <v>8170</v>
      </c>
      <c r="X559" t="s">
        <v>2718</v>
      </c>
      <c r="Y559" t="s">
        <v>8171</v>
      </c>
      <c r="Z559" t="s">
        <v>74</v>
      </c>
      <c r="AA559" t="s">
        <v>74</v>
      </c>
      <c r="AB559" t="s">
        <v>74</v>
      </c>
      <c r="AC559" t="s">
        <v>74</v>
      </c>
      <c r="AD559" t="s">
        <v>74</v>
      </c>
      <c r="AE559" t="s">
        <v>74</v>
      </c>
      <c r="AF559" t="s">
        <v>74</v>
      </c>
      <c r="AG559">
        <v>12</v>
      </c>
      <c r="AH559">
        <v>10</v>
      </c>
      <c r="AI559">
        <v>10</v>
      </c>
      <c r="AJ559">
        <v>0</v>
      </c>
      <c r="AK559">
        <v>2</v>
      </c>
      <c r="AL559" t="s">
        <v>8172</v>
      </c>
      <c r="AM559" t="s">
        <v>251</v>
      </c>
      <c r="AN559" t="s">
        <v>8173</v>
      </c>
      <c r="AO559" t="s">
        <v>8174</v>
      </c>
      <c r="AP559" t="s">
        <v>74</v>
      </c>
      <c r="AQ559" t="s">
        <v>74</v>
      </c>
      <c r="AR559" t="s">
        <v>8175</v>
      </c>
      <c r="AS559" t="s">
        <v>8176</v>
      </c>
      <c r="AT559" t="s">
        <v>7577</v>
      </c>
      <c r="AU559">
        <v>2003</v>
      </c>
      <c r="AV559">
        <v>35</v>
      </c>
      <c r="AW559">
        <v>5</v>
      </c>
      <c r="AX559" t="s">
        <v>74</v>
      </c>
      <c r="AY559" t="s">
        <v>74</v>
      </c>
      <c r="AZ559" t="s">
        <v>74</v>
      </c>
      <c r="BA559" t="s">
        <v>74</v>
      </c>
      <c r="BB559">
        <v>206</v>
      </c>
      <c r="BC559">
        <v>211</v>
      </c>
      <c r="BD559" t="s">
        <v>74</v>
      </c>
      <c r="BE559" t="s">
        <v>8177</v>
      </c>
      <c r="BF559" t="str">
        <f>HYPERLINK("http://dx.doi.org/10.1002/kin.10120","http://dx.doi.org/10.1002/kin.10120")</f>
        <v>http://dx.doi.org/10.1002/kin.10120</v>
      </c>
      <c r="BG559" t="s">
        <v>74</v>
      </c>
      <c r="BH559" t="s">
        <v>74</v>
      </c>
      <c r="BI559">
        <v>6</v>
      </c>
      <c r="BJ559" t="s">
        <v>6735</v>
      </c>
      <c r="BK559" t="s">
        <v>94</v>
      </c>
      <c r="BL559" t="s">
        <v>4142</v>
      </c>
      <c r="BM559" t="s">
        <v>8178</v>
      </c>
      <c r="BN559" t="s">
        <v>74</v>
      </c>
      <c r="BO559" t="s">
        <v>74</v>
      </c>
      <c r="BP559" t="s">
        <v>74</v>
      </c>
      <c r="BQ559" t="s">
        <v>74</v>
      </c>
      <c r="BR559" t="s">
        <v>97</v>
      </c>
      <c r="BS559" t="s">
        <v>8179</v>
      </c>
      <c r="BT559" t="str">
        <f>HYPERLINK("https%3A%2F%2Fwww.webofscience.com%2Fwos%2Fwoscc%2Ffull-record%2FWOS:000182175300004","View Full Record in Web of Science")</f>
        <v>View Full Record in Web of Science</v>
      </c>
    </row>
    <row r="560" spans="1:72" x14ac:dyDescent="0.15">
      <c r="A560" t="s">
        <v>72</v>
      </c>
      <c r="B560" t="s">
        <v>8180</v>
      </c>
      <c r="C560" t="s">
        <v>74</v>
      </c>
      <c r="D560" t="s">
        <v>74</v>
      </c>
      <c r="E560" t="s">
        <v>74</v>
      </c>
      <c r="F560" t="s">
        <v>8180</v>
      </c>
      <c r="G560" t="s">
        <v>74</v>
      </c>
      <c r="H560" t="s">
        <v>74</v>
      </c>
      <c r="I560" t="s">
        <v>8181</v>
      </c>
      <c r="J560" t="s">
        <v>3665</v>
      </c>
      <c r="K560" t="s">
        <v>74</v>
      </c>
      <c r="L560" t="s">
        <v>74</v>
      </c>
      <c r="M560" t="s">
        <v>77</v>
      </c>
      <c r="N560" t="s">
        <v>78</v>
      </c>
      <c r="O560" t="s">
        <v>74</v>
      </c>
      <c r="P560" t="s">
        <v>74</v>
      </c>
      <c r="Q560" t="s">
        <v>74</v>
      </c>
      <c r="R560" t="s">
        <v>74</v>
      </c>
      <c r="S560" t="s">
        <v>74</v>
      </c>
      <c r="T560" t="s">
        <v>8182</v>
      </c>
      <c r="U560" t="s">
        <v>8183</v>
      </c>
      <c r="V560" t="s">
        <v>8184</v>
      </c>
      <c r="W560" t="s">
        <v>8185</v>
      </c>
      <c r="X560" t="s">
        <v>82</v>
      </c>
      <c r="Y560" t="s">
        <v>8186</v>
      </c>
      <c r="Z560" t="s">
        <v>8187</v>
      </c>
      <c r="AA560" t="s">
        <v>8188</v>
      </c>
      <c r="AB560" t="s">
        <v>8189</v>
      </c>
      <c r="AC560" t="s">
        <v>74</v>
      </c>
      <c r="AD560" t="s">
        <v>74</v>
      </c>
      <c r="AE560" t="s">
        <v>74</v>
      </c>
      <c r="AF560" t="s">
        <v>74</v>
      </c>
      <c r="AG560">
        <v>74</v>
      </c>
      <c r="AH560">
        <v>32</v>
      </c>
      <c r="AI560">
        <v>32</v>
      </c>
      <c r="AJ560">
        <v>0</v>
      </c>
      <c r="AK560">
        <v>3</v>
      </c>
      <c r="AL560" t="s">
        <v>250</v>
      </c>
      <c r="AM560" t="s">
        <v>251</v>
      </c>
      <c r="AN560" t="s">
        <v>252</v>
      </c>
      <c r="AO560" t="s">
        <v>3675</v>
      </c>
      <c r="AP560" t="s">
        <v>3676</v>
      </c>
      <c r="AQ560" t="s">
        <v>74</v>
      </c>
      <c r="AR560" t="s">
        <v>3677</v>
      </c>
      <c r="AS560" t="s">
        <v>3678</v>
      </c>
      <c r="AT560" t="s">
        <v>7577</v>
      </c>
      <c r="AU560">
        <v>2003</v>
      </c>
      <c r="AV560">
        <v>23</v>
      </c>
      <c r="AW560">
        <v>6</v>
      </c>
      <c r="AX560" t="s">
        <v>74</v>
      </c>
      <c r="AY560" t="s">
        <v>74</v>
      </c>
      <c r="AZ560" t="s">
        <v>74</v>
      </c>
      <c r="BA560" t="s">
        <v>74</v>
      </c>
      <c r="BB560">
        <v>631</v>
      </c>
      <c r="BC560">
        <v>662</v>
      </c>
      <c r="BD560" t="s">
        <v>74</v>
      </c>
      <c r="BE560" t="s">
        <v>8190</v>
      </c>
      <c r="BF560" t="str">
        <f>HYPERLINK("http://dx.doi.org/10.1002/joc.895","http://dx.doi.org/10.1002/joc.895")</f>
        <v>http://dx.doi.org/10.1002/joc.895</v>
      </c>
      <c r="BG560" t="s">
        <v>74</v>
      </c>
      <c r="BH560" t="s">
        <v>74</v>
      </c>
      <c r="BI560">
        <v>32</v>
      </c>
      <c r="BJ560" t="s">
        <v>93</v>
      </c>
      <c r="BK560" t="s">
        <v>94</v>
      </c>
      <c r="BL560" t="s">
        <v>93</v>
      </c>
      <c r="BM560" t="s">
        <v>8191</v>
      </c>
      <c r="BN560" t="s">
        <v>74</v>
      </c>
      <c r="BO560" t="s">
        <v>74</v>
      </c>
      <c r="BP560" t="s">
        <v>74</v>
      </c>
      <c r="BQ560" t="s">
        <v>74</v>
      </c>
      <c r="BR560" t="s">
        <v>97</v>
      </c>
      <c r="BS560" t="s">
        <v>8192</v>
      </c>
      <c r="BT560" t="str">
        <f>HYPERLINK("https%3A%2F%2Fwww.webofscience.com%2Fwos%2Fwoscc%2Ffull-record%2FWOS:000183163200003","View Full Record in Web of Science")</f>
        <v>View Full Record in Web of Science</v>
      </c>
    </row>
    <row r="561" spans="1:72" x14ac:dyDescent="0.15">
      <c r="A561" t="s">
        <v>72</v>
      </c>
      <c r="B561" t="s">
        <v>8193</v>
      </c>
      <c r="C561" t="s">
        <v>74</v>
      </c>
      <c r="D561" t="s">
        <v>74</v>
      </c>
      <c r="E561" t="s">
        <v>74</v>
      </c>
      <c r="F561" t="s">
        <v>8193</v>
      </c>
      <c r="G561" t="s">
        <v>74</v>
      </c>
      <c r="H561" t="s">
        <v>74</v>
      </c>
      <c r="I561" t="s">
        <v>8194</v>
      </c>
      <c r="J561" t="s">
        <v>1900</v>
      </c>
      <c r="K561" t="s">
        <v>74</v>
      </c>
      <c r="L561" t="s">
        <v>74</v>
      </c>
      <c r="M561" t="s">
        <v>77</v>
      </c>
      <c r="N561" t="s">
        <v>78</v>
      </c>
      <c r="O561" t="s">
        <v>74</v>
      </c>
      <c r="P561" t="s">
        <v>74</v>
      </c>
      <c r="Q561" t="s">
        <v>74</v>
      </c>
      <c r="R561" t="s">
        <v>74</v>
      </c>
      <c r="S561" t="s">
        <v>74</v>
      </c>
      <c r="T561" t="s">
        <v>74</v>
      </c>
      <c r="U561" t="s">
        <v>8195</v>
      </c>
      <c r="V561" t="s">
        <v>8196</v>
      </c>
      <c r="W561" t="s">
        <v>8197</v>
      </c>
      <c r="X561" t="s">
        <v>8198</v>
      </c>
      <c r="Y561" t="s">
        <v>8199</v>
      </c>
      <c r="Z561" t="s">
        <v>74</v>
      </c>
      <c r="AA561" t="s">
        <v>8200</v>
      </c>
      <c r="AB561" t="s">
        <v>8201</v>
      </c>
      <c r="AC561" t="s">
        <v>74</v>
      </c>
      <c r="AD561" t="s">
        <v>74</v>
      </c>
      <c r="AE561" t="s">
        <v>74</v>
      </c>
      <c r="AF561" t="s">
        <v>74</v>
      </c>
      <c r="AG561">
        <v>32</v>
      </c>
      <c r="AH561">
        <v>192</v>
      </c>
      <c r="AI561">
        <v>219</v>
      </c>
      <c r="AJ561">
        <v>1</v>
      </c>
      <c r="AK561">
        <v>35</v>
      </c>
      <c r="AL561" t="s">
        <v>1906</v>
      </c>
      <c r="AM561" t="s">
        <v>442</v>
      </c>
      <c r="AN561" t="s">
        <v>1907</v>
      </c>
      <c r="AO561" t="s">
        <v>1908</v>
      </c>
      <c r="AP561" t="s">
        <v>74</v>
      </c>
      <c r="AQ561" t="s">
        <v>74</v>
      </c>
      <c r="AR561" t="s">
        <v>1909</v>
      </c>
      <c r="AS561" t="s">
        <v>1910</v>
      </c>
      <c r="AT561" t="s">
        <v>7577</v>
      </c>
      <c r="AU561">
        <v>2003</v>
      </c>
      <c r="AV561">
        <v>53</v>
      </c>
      <c r="AW561" t="s">
        <v>74</v>
      </c>
      <c r="AX561">
        <v>3</v>
      </c>
      <c r="AY561" t="s">
        <v>74</v>
      </c>
      <c r="AZ561" t="s">
        <v>74</v>
      </c>
      <c r="BA561" t="s">
        <v>74</v>
      </c>
      <c r="BB561">
        <v>779</v>
      </c>
      <c r="BC561">
        <v>785</v>
      </c>
      <c r="BD561" t="s">
        <v>74</v>
      </c>
      <c r="BE561" t="s">
        <v>8202</v>
      </c>
      <c r="BF561" t="str">
        <f>HYPERLINK("http://dx.doi.org/10.1099/ijs.0.02366-0","http://dx.doi.org/10.1099/ijs.0.02366-0")</f>
        <v>http://dx.doi.org/10.1099/ijs.0.02366-0</v>
      </c>
      <c r="BG561" t="s">
        <v>74</v>
      </c>
      <c r="BH561" t="s">
        <v>74</v>
      </c>
      <c r="BI561">
        <v>7</v>
      </c>
      <c r="BJ561" t="s">
        <v>1912</v>
      </c>
      <c r="BK561" t="s">
        <v>94</v>
      </c>
      <c r="BL561" t="s">
        <v>1912</v>
      </c>
      <c r="BM561" t="s">
        <v>8203</v>
      </c>
      <c r="BN561">
        <v>12807200</v>
      </c>
      <c r="BO561" t="s">
        <v>96</v>
      </c>
      <c r="BP561" t="s">
        <v>74</v>
      </c>
      <c r="BQ561" t="s">
        <v>74</v>
      </c>
      <c r="BR561" t="s">
        <v>97</v>
      </c>
      <c r="BS561" t="s">
        <v>8204</v>
      </c>
      <c r="BT561" t="str">
        <f>HYPERLINK("https%3A%2F%2Fwww.webofscience.com%2Fwos%2Fwoscc%2Ffull-record%2FWOS:000183268200021","View Full Record in Web of Science")</f>
        <v>View Full Record in Web of Science</v>
      </c>
    </row>
    <row r="562" spans="1:72" x14ac:dyDescent="0.15">
      <c r="A562" t="s">
        <v>72</v>
      </c>
      <c r="B562" t="s">
        <v>8205</v>
      </c>
      <c r="C562" t="s">
        <v>74</v>
      </c>
      <c r="D562" t="s">
        <v>74</v>
      </c>
      <c r="E562" t="s">
        <v>74</v>
      </c>
      <c r="F562" t="s">
        <v>8205</v>
      </c>
      <c r="G562" t="s">
        <v>74</v>
      </c>
      <c r="H562" t="s">
        <v>74</v>
      </c>
      <c r="I562" t="s">
        <v>8206</v>
      </c>
      <c r="J562" t="s">
        <v>5088</v>
      </c>
      <c r="K562" t="s">
        <v>74</v>
      </c>
      <c r="L562" t="s">
        <v>74</v>
      </c>
      <c r="M562" t="s">
        <v>77</v>
      </c>
      <c r="N562" t="s">
        <v>78</v>
      </c>
      <c r="O562" t="s">
        <v>74</v>
      </c>
      <c r="P562" t="s">
        <v>74</v>
      </c>
      <c r="Q562" t="s">
        <v>74</v>
      </c>
      <c r="R562" t="s">
        <v>74</v>
      </c>
      <c r="S562" t="s">
        <v>74</v>
      </c>
      <c r="T562" t="s">
        <v>74</v>
      </c>
      <c r="U562" t="s">
        <v>8207</v>
      </c>
      <c r="V562" t="s">
        <v>8208</v>
      </c>
      <c r="W562" t="s">
        <v>8209</v>
      </c>
      <c r="X562" t="s">
        <v>4954</v>
      </c>
      <c r="Y562" t="s">
        <v>8210</v>
      </c>
      <c r="Z562" t="s">
        <v>74</v>
      </c>
      <c r="AA562" t="s">
        <v>8211</v>
      </c>
      <c r="AB562" t="s">
        <v>8212</v>
      </c>
      <c r="AC562" t="s">
        <v>74</v>
      </c>
      <c r="AD562" t="s">
        <v>74</v>
      </c>
      <c r="AE562" t="s">
        <v>74</v>
      </c>
      <c r="AF562" t="s">
        <v>74</v>
      </c>
      <c r="AG562">
        <v>35</v>
      </c>
      <c r="AH562">
        <v>32</v>
      </c>
      <c r="AI562">
        <v>33</v>
      </c>
      <c r="AJ562">
        <v>0</v>
      </c>
      <c r="AK562">
        <v>7</v>
      </c>
      <c r="AL562" t="s">
        <v>1789</v>
      </c>
      <c r="AM562" t="s">
        <v>1790</v>
      </c>
      <c r="AN562" t="s">
        <v>1791</v>
      </c>
      <c r="AO562" t="s">
        <v>5094</v>
      </c>
      <c r="AP562" t="s">
        <v>74</v>
      </c>
      <c r="AQ562" t="s">
        <v>74</v>
      </c>
      <c r="AR562" t="s">
        <v>5095</v>
      </c>
      <c r="AS562" t="s">
        <v>5096</v>
      </c>
      <c r="AT562" t="s">
        <v>7592</v>
      </c>
      <c r="AU562">
        <v>2003</v>
      </c>
      <c r="AV562">
        <v>39</v>
      </c>
      <c r="AW562">
        <v>3</v>
      </c>
      <c r="AX562" t="s">
        <v>74</v>
      </c>
      <c r="AY562" t="s">
        <v>74</v>
      </c>
      <c r="AZ562" t="s">
        <v>74</v>
      </c>
      <c r="BA562" t="s">
        <v>74</v>
      </c>
      <c r="BB562">
        <v>355</v>
      </c>
      <c r="BC562">
        <v>368</v>
      </c>
      <c r="BD562" t="s">
        <v>74</v>
      </c>
      <c r="BE562" t="s">
        <v>74</v>
      </c>
      <c r="BF562" t="s">
        <v>74</v>
      </c>
      <c r="BG562" t="s">
        <v>74</v>
      </c>
      <c r="BH562" t="s">
        <v>74</v>
      </c>
      <c r="BI562">
        <v>14</v>
      </c>
      <c r="BJ562" t="s">
        <v>5097</v>
      </c>
      <c r="BK562" t="s">
        <v>94</v>
      </c>
      <c r="BL562" t="s">
        <v>5097</v>
      </c>
      <c r="BM562" t="s">
        <v>8213</v>
      </c>
      <c r="BN562" t="s">
        <v>74</v>
      </c>
      <c r="BO562" t="s">
        <v>74</v>
      </c>
      <c r="BP562" t="s">
        <v>74</v>
      </c>
      <c r="BQ562" t="s">
        <v>74</v>
      </c>
      <c r="BR562" t="s">
        <v>97</v>
      </c>
      <c r="BS562" t="s">
        <v>8214</v>
      </c>
      <c r="BT562" t="str">
        <f>HYPERLINK("https%3A%2F%2Fwww.webofscience.com%2Fwos%2Fwoscc%2Ffull-record%2FWOS:000183343700010","View Full Record in Web of Science")</f>
        <v>View Full Record in Web of Science</v>
      </c>
    </row>
    <row r="563" spans="1:72" x14ac:dyDescent="0.15">
      <c r="A563" t="s">
        <v>72</v>
      </c>
      <c r="B563" t="s">
        <v>8215</v>
      </c>
      <c r="C563" t="s">
        <v>74</v>
      </c>
      <c r="D563" t="s">
        <v>74</v>
      </c>
      <c r="E563" t="s">
        <v>74</v>
      </c>
      <c r="F563" t="s">
        <v>8215</v>
      </c>
      <c r="G563" t="s">
        <v>74</v>
      </c>
      <c r="H563" t="s">
        <v>74</v>
      </c>
      <c r="I563" t="s">
        <v>8216</v>
      </c>
      <c r="J563" t="s">
        <v>8217</v>
      </c>
      <c r="K563" t="s">
        <v>74</v>
      </c>
      <c r="L563" t="s">
        <v>74</v>
      </c>
      <c r="M563" t="s">
        <v>77</v>
      </c>
      <c r="N563" t="s">
        <v>78</v>
      </c>
      <c r="O563" t="s">
        <v>74</v>
      </c>
      <c r="P563" t="s">
        <v>74</v>
      </c>
      <c r="Q563" t="s">
        <v>74</v>
      </c>
      <c r="R563" t="s">
        <v>74</v>
      </c>
      <c r="S563" t="s">
        <v>74</v>
      </c>
      <c r="T563" t="s">
        <v>8218</v>
      </c>
      <c r="U563" t="s">
        <v>74</v>
      </c>
      <c r="V563" t="s">
        <v>8219</v>
      </c>
      <c r="W563" t="s">
        <v>74</v>
      </c>
      <c r="X563" t="s">
        <v>74</v>
      </c>
      <c r="Y563" t="s">
        <v>8220</v>
      </c>
      <c r="Z563" t="s">
        <v>74</v>
      </c>
      <c r="AA563" t="s">
        <v>74</v>
      </c>
      <c r="AB563" t="s">
        <v>74</v>
      </c>
      <c r="AC563" t="s">
        <v>74</v>
      </c>
      <c r="AD563" t="s">
        <v>74</v>
      </c>
      <c r="AE563" t="s">
        <v>74</v>
      </c>
      <c r="AF563" t="s">
        <v>74</v>
      </c>
      <c r="AG563">
        <v>10</v>
      </c>
      <c r="AH563">
        <v>1</v>
      </c>
      <c r="AI563">
        <v>1</v>
      </c>
      <c r="AJ563">
        <v>0</v>
      </c>
      <c r="AK563">
        <v>15</v>
      </c>
      <c r="AL563" t="s">
        <v>8221</v>
      </c>
      <c r="AM563" t="s">
        <v>964</v>
      </c>
      <c r="AN563" t="s">
        <v>8222</v>
      </c>
      <c r="AO563" t="s">
        <v>8223</v>
      </c>
      <c r="AP563" t="s">
        <v>74</v>
      </c>
      <c r="AQ563" t="s">
        <v>74</v>
      </c>
      <c r="AR563" t="s">
        <v>8224</v>
      </c>
      <c r="AS563" t="s">
        <v>8225</v>
      </c>
      <c r="AT563" t="s">
        <v>7592</v>
      </c>
      <c r="AU563">
        <v>2003</v>
      </c>
      <c r="AV563">
        <v>56</v>
      </c>
      <c r="AW563" t="s">
        <v>4092</v>
      </c>
      <c r="AX563" t="s">
        <v>74</v>
      </c>
      <c r="AY563" t="s">
        <v>74</v>
      </c>
      <c r="AZ563" t="s">
        <v>74</v>
      </c>
      <c r="BA563" t="s">
        <v>74</v>
      </c>
      <c r="BB563">
        <v>192</v>
      </c>
      <c r="BC563">
        <v>204</v>
      </c>
      <c r="BD563" t="s">
        <v>74</v>
      </c>
      <c r="BE563" t="s">
        <v>74</v>
      </c>
      <c r="BF563" t="s">
        <v>74</v>
      </c>
      <c r="BG563" t="s">
        <v>74</v>
      </c>
      <c r="BH563" t="s">
        <v>74</v>
      </c>
      <c r="BI563">
        <v>13</v>
      </c>
      <c r="BJ563" t="s">
        <v>8226</v>
      </c>
      <c r="BK563" t="s">
        <v>94</v>
      </c>
      <c r="BL563" t="s">
        <v>8227</v>
      </c>
      <c r="BM563" t="s">
        <v>8228</v>
      </c>
      <c r="BN563" t="s">
        <v>74</v>
      </c>
      <c r="BO563" t="s">
        <v>74</v>
      </c>
      <c r="BP563" t="s">
        <v>74</v>
      </c>
      <c r="BQ563" t="s">
        <v>74</v>
      </c>
      <c r="BR563" t="s">
        <v>97</v>
      </c>
      <c r="BS563" t="s">
        <v>8229</v>
      </c>
      <c r="BT563" t="str">
        <f>HYPERLINK("https%3A%2F%2Fwww.webofscience.com%2Fwos%2Fwoscc%2Ffull-record%2FWOS:000182176700005","View Full Record in Web of Science")</f>
        <v>View Full Record in Web of Science</v>
      </c>
    </row>
    <row r="564" spans="1:72" x14ac:dyDescent="0.15">
      <c r="A564" t="s">
        <v>72</v>
      </c>
      <c r="B564" t="s">
        <v>8230</v>
      </c>
      <c r="C564" t="s">
        <v>74</v>
      </c>
      <c r="D564" t="s">
        <v>74</v>
      </c>
      <c r="E564" t="s">
        <v>74</v>
      </c>
      <c r="F564" t="s">
        <v>8230</v>
      </c>
      <c r="G564" t="s">
        <v>74</v>
      </c>
      <c r="H564" t="s">
        <v>74</v>
      </c>
      <c r="I564" t="s">
        <v>8231</v>
      </c>
      <c r="J564" t="s">
        <v>8232</v>
      </c>
      <c r="K564" t="s">
        <v>74</v>
      </c>
      <c r="L564" t="s">
        <v>74</v>
      </c>
      <c r="M564" t="s">
        <v>77</v>
      </c>
      <c r="N564" t="s">
        <v>159</v>
      </c>
      <c r="O564" t="s">
        <v>8233</v>
      </c>
      <c r="P564" t="s">
        <v>8234</v>
      </c>
      <c r="Q564" t="s">
        <v>8235</v>
      </c>
      <c r="R564" t="s">
        <v>74</v>
      </c>
      <c r="S564" t="s">
        <v>74</v>
      </c>
      <c r="T564" t="s">
        <v>74</v>
      </c>
      <c r="U564" t="s">
        <v>8236</v>
      </c>
      <c r="V564" t="s">
        <v>8237</v>
      </c>
      <c r="W564" t="s">
        <v>8238</v>
      </c>
      <c r="X564" t="s">
        <v>8239</v>
      </c>
      <c r="Y564" t="s">
        <v>8240</v>
      </c>
      <c r="Z564" t="s">
        <v>74</v>
      </c>
      <c r="AA564" t="s">
        <v>74</v>
      </c>
      <c r="AB564" t="s">
        <v>74</v>
      </c>
      <c r="AC564" t="s">
        <v>74</v>
      </c>
      <c r="AD564" t="s">
        <v>74</v>
      </c>
      <c r="AE564" t="s">
        <v>74</v>
      </c>
      <c r="AF564" t="s">
        <v>74</v>
      </c>
      <c r="AG564">
        <v>12</v>
      </c>
      <c r="AH564">
        <v>2</v>
      </c>
      <c r="AI564">
        <v>2</v>
      </c>
      <c r="AJ564">
        <v>0</v>
      </c>
      <c r="AK564">
        <v>1</v>
      </c>
      <c r="AL564" t="s">
        <v>4670</v>
      </c>
      <c r="AM564" t="s">
        <v>4671</v>
      </c>
      <c r="AN564" t="s">
        <v>4672</v>
      </c>
      <c r="AO564" t="s">
        <v>8241</v>
      </c>
      <c r="AP564" t="s">
        <v>74</v>
      </c>
      <c r="AQ564" t="s">
        <v>74</v>
      </c>
      <c r="AR564" t="s">
        <v>8242</v>
      </c>
      <c r="AS564" t="s">
        <v>8243</v>
      </c>
      <c r="AT564" t="s">
        <v>7577</v>
      </c>
      <c r="AU564">
        <v>2003</v>
      </c>
      <c r="AV564">
        <v>107</v>
      </c>
      <c r="AW564" t="s">
        <v>74</v>
      </c>
      <c r="AX564">
        <v>1</v>
      </c>
      <c r="AY564" t="s">
        <v>74</v>
      </c>
      <c r="AZ564" t="s">
        <v>74</v>
      </c>
      <c r="BA564" t="s">
        <v>74</v>
      </c>
      <c r="BB564">
        <v>241</v>
      </c>
      <c r="BC564">
        <v>244</v>
      </c>
      <c r="BD564" t="s">
        <v>74</v>
      </c>
      <c r="BE564" t="s">
        <v>8244</v>
      </c>
      <c r="BF564" t="str">
        <f>HYPERLINK("http://dx.doi.org/10.1051/jp4:20030287","http://dx.doi.org/10.1051/jp4:20030287")</f>
        <v>http://dx.doi.org/10.1051/jp4:20030287</v>
      </c>
      <c r="BG564" t="s">
        <v>74</v>
      </c>
      <c r="BH564" t="s">
        <v>74</v>
      </c>
      <c r="BI564">
        <v>4</v>
      </c>
      <c r="BJ564" t="s">
        <v>428</v>
      </c>
      <c r="BK564" t="s">
        <v>854</v>
      </c>
      <c r="BL564" t="s">
        <v>429</v>
      </c>
      <c r="BM564" t="s">
        <v>8245</v>
      </c>
      <c r="BN564" t="s">
        <v>74</v>
      </c>
      <c r="BO564" t="s">
        <v>74</v>
      </c>
      <c r="BP564" t="s">
        <v>74</v>
      </c>
      <c r="BQ564" t="s">
        <v>74</v>
      </c>
      <c r="BR564" t="s">
        <v>97</v>
      </c>
      <c r="BS564" t="s">
        <v>8246</v>
      </c>
      <c r="BT564" t="str">
        <f>HYPERLINK("https%3A%2F%2Fwww.webofscience.com%2Fwos%2Fwoscc%2Ffull-record%2FWOS:000183782300060","View Full Record in Web of Science")</f>
        <v>View Full Record in Web of Science</v>
      </c>
    </row>
    <row r="565" spans="1:72" x14ac:dyDescent="0.15">
      <c r="A565" t="s">
        <v>72</v>
      </c>
      <c r="B565" t="s">
        <v>8247</v>
      </c>
      <c r="C565" t="s">
        <v>74</v>
      </c>
      <c r="D565" t="s">
        <v>74</v>
      </c>
      <c r="E565" t="s">
        <v>74</v>
      </c>
      <c r="F565" t="s">
        <v>8247</v>
      </c>
      <c r="G565" t="s">
        <v>74</v>
      </c>
      <c r="H565" t="s">
        <v>74</v>
      </c>
      <c r="I565" t="s">
        <v>8248</v>
      </c>
      <c r="J565" t="s">
        <v>8232</v>
      </c>
      <c r="K565" t="s">
        <v>74</v>
      </c>
      <c r="L565" t="s">
        <v>74</v>
      </c>
      <c r="M565" t="s">
        <v>77</v>
      </c>
      <c r="N565" t="s">
        <v>159</v>
      </c>
      <c r="O565" t="s">
        <v>8233</v>
      </c>
      <c r="P565" t="s">
        <v>8234</v>
      </c>
      <c r="Q565" t="s">
        <v>8235</v>
      </c>
      <c r="R565" t="s">
        <v>74</v>
      </c>
      <c r="S565" t="s">
        <v>74</v>
      </c>
      <c r="T565" t="s">
        <v>74</v>
      </c>
      <c r="U565" t="s">
        <v>8249</v>
      </c>
      <c r="V565" t="s">
        <v>8250</v>
      </c>
      <c r="W565" t="s">
        <v>8251</v>
      </c>
      <c r="X565" t="s">
        <v>8252</v>
      </c>
      <c r="Y565" t="s">
        <v>8253</v>
      </c>
      <c r="Z565" t="s">
        <v>74</v>
      </c>
      <c r="AA565" t="s">
        <v>8254</v>
      </c>
      <c r="AB565" t="s">
        <v>8255</v>
      </c>
      <c r="AC565" t="s">
        <v>74</v>
      </c>
      <c r="AD565" t="s">
        <v>74</v>
      </c>
      <c r="AE565" t="s">
        <v>74</v>
      </c>
      <c r="AF565" t="s">
        <v>74</v>
      </c>
      <c r="AG565">
        <v>8</v>
      </c>
      <c r="AH565">
        <v>3</v>
      </c>
      <c r="AI565">
        <v>3</v>
      </c>
      <c r="AJ565">
        <v>0</v>
      </c>
      <c r="AK565">
        <v>2</v>
      </c>
      <c r="AL565" t="s">
        <v>4670</v>
      </c>
      <c r="AM565" t="s">
        <v>4671</v>
      </c>
      <c r="AN565" t="s">
        <v>4672</v>
      </c>
      <c r="AO565" t="s">
        <v>8241</v>
      </c>
      <c r="AP565" t="s">
        <v>74</v>
      </c>
      <c r="AQ565" t="s">
        <v>74</v>
      </c>
      <c r="AR565" t="s">
        <v>8242</v>
      </c>
      <c r="AS565" t="s">
        <v>8243</v>
      </c>
      <c r="AT565" t="s">
        <v>7577</v>
      </c>
      <c r="AU565">
        <v>2003</v>
      </c>
      <c r="AV565">
        <v>107</v>
      </c>
      <c r="AW565" t="s">
        <v>74</v>
      </c>
      <c r="AX565">
        <v>1</v>
      </c>
      <c r="AY565" t="s">
        <v>74</v>
      </c>
      <c r="AZ565" t="s">
        <v>74</v>
      </c>
      <c r="BA565" t="s">
        <v>74</v>
      </c>
      <c r="BB565">
        <v>365</v>
      </c>
      <c r="BC565">
        <v>368</v>
      </c>
      <c r="BD565" t="s">
        <v>74</v>
      </c>
      <c r="BE565" t="s">
        <v>8256</v>
      </c>
      <c r="BF565" t="str">
        <f>HYPERLINK("http://dx.doi.org/10.1051/jp4:20030317","http://dx.doi.org/10.1051/jp4:20030317")</f>
        <v>http://dx.doi.org/10.1051/jp4:20030317</v>
      </c>
      <c r="BG565" t="s">
        <v>74</v>
      </c>
      <c r="BH565" t="s">
        <v>74</v>
      </c>
      <c r="BI565">
        <v>4</v>
      </c>
      <c r="BJ565" t="s">
        <v>428</v>
      </c>
      <c r="BK565" t="s">
        <v>854</v>
      </c>
      <c r="BL565" t="s">
        <v>429</v>
      </c>
      <c r="BM565" t="s">
        <v>8245</v>
      </c>
      <c r="BN565" t="s">
        <v>74</v>
      </c>
      <c r="BO565" t="s">
        <v>74</v>
      </c>
      <c r="BP565" t="s">
        <v>74</v>
      </c>
      <c r="BQ565" t="s">
        <v>74</v>
      </c>
      <c r="BR565" t="s">
        <v>97</v>
      </c>
      <c r="BS565" t="s">
        <v>8257</v>
      </c>
      <c r="BT565" t="str">
        <f>HYPERLINK("https%3A%2F%2Fwww.webofscience.com%2Fwos%2Fwoscc%2Ffull-record%2FWOS:000183782300090","View Full Record in Web of Science")</f>
        <v>View Full Record in Web of Science</v>
      </c>
    </row>
    <row r="566" spans="1:72" x14ac:dyDescent="0.15">
      <c r="A566" t="s">
        <v>72</v>
      </c>
      <c r="B566" t="s">
        <v>8258</v>
      </c>
      <c r="C566" t="s">
        <v>74</v>
      </c>
      <c r="D566" t="s">
        <v>74</v>
      </c>
      <c r="E566" t="s">
        <v>74</v>
      </c>
      <c r="F566" t="s">
        <v>8258</v>
      </c>
      <c r="G566" t="s">
        <v>74</v>
      </c>
      <c r="H566" t="s">
        <v>74</v>
      </c>
      <c r="I566" t="s">
        <v>8259</v>
      </c>
      <c r="J566" t="s">
        <v>8232</v>
      </c>
      <c r="K566" t="s">
        <v>74</v>
      </c>
      <c r="L566" t="s">
        <v>74</v>
      </c>
      <c r="M566" t="s">
        <v>77</v>
      </c>
      <c r="N566" t="s">
        <v>159</v>
      </c>
      <c r="O566" t="s">
        <v>8233</v>
      </c>
      <c r="P566" t="s">
        <v>8234</v>
      </c>
      <c r="Q566" t="s">
        <v>8235</v>
      </c>
      <c r="R566" t="s">
        <v>74</v>
      </c>
      <c r="S566" t="s">
        <v>74</v>
      </c>
      <c r="T566" t="s">
        <v>74</v>
      </c>
      <c r="U566" t="s">
        <v>8260</v>
      </c>
      <c r="V566" t="s">
        <v>8261</v>
      </c>
      <c r="W566" t="s">
        <v>8262</v>
      </c>
      <c r="X566" t="s">
        <v>8263</v>
      </c>
      <c r="Y566" t="s">
        <v>8264</v>
      </c>
      <c r="Z566" t="s">
        <v>74</v>
      </c>
      <c r="AA566" t="s">
        <v>8265</v>
      </c>
      <c r="AB566" t="s">
        <v>8266</v>
      </c>
      <c r="AC566" t="s">
        <v>74</v>
      </c>
      <c r="AD566" t="s">
        <v>74</v>
      </c>
      <c r="AE566" t="s">
        <v>74</v>
      </c>
      <c r="AF566" t="s">
        <v>74</v>
      </c>
      <c r="AG566">
        <v>45</v>
      </c>
      <c r="AH566">
        <v>1</v>
      </c>
      <c r="AI566">
        <v>1</v>
      </c>
      <c r="AJ566">
        <v>0</v>
      </c>
      <c r="AK566">
        <v>9</v>
      </c>
      <c r="AL566" t="s">
        <v>5532</v>
      </c>
      <c r="AM566" t="s">
        <v>5533</v>
      </c>
      <c r="AN566" t="s">
        <v>5534</v>
      </c>
      <c r="AO566" t="s">
        <v>8241</v>
      </c>
      <c r="AP566" t="s">
        <v>74</v>
      </c>
      <c r="AQ566" t="s">
        <v>74</v>
      </c>
      <c r="AR566" t="s">
        <v>8242</v>
      </c>
      <c r="AS566" t="s">
        <v>8243</v>
      </c>
      <c r="AT566" t="s">
        <v>7577</v>
      </c>
      <c r="AU566">
        <v>2003</v>
      </c>
      <c r="AV566">
        <v>107</v>
      </c>
      <c r="AW566" t="s">
        <v>74</v>
      </c>
      <c r="AX566">
        <v>1</v>
      </c>
      <c r="AY566" t="s">
        <v>74</v>
      </c>
      <c r="AZ566" t="s">
        <v>74</v>
      </c>
      <c r="BA566" t="s">
        <v>74</v>
      </c>
      <c r="BB566">
        <v>499</v>
      </c>
      <c r="BC566">
        <v>503</v>
      </c>
      <c r="BD566" t="s">
        <v>74</v>
      </c>
      <c r="BE566" t="s">
        <v>8267</v>
      </c>
      <c r="BF566" t="str">
        <f>HYPERLINK("http://dx.doi.org/10.1051/jp4:20030350","http://dx.doi.org/10.1051/jp4:20030350")</f>
        <v>http://dx.doi.org/10.1051/jp4:20030350</v>
      </c>
      <c r="BG566" t="s">
        <v>74</v>
      </c>
      <c r="BH566" t="s">
        <v>74</v>
      </c>
      <c r="BI566">
        <v>5</v>
      </c>
      <c r="BJ566" t="s">
        <v>428</v>
      </c>
      <c r="BK566" t="s">
        <v>177</v>
      </c>
      <c r="BL566" t="s">
        <v>429</v>
      </c>
      <c r="BM566" t="s">
        <v>8245</v>
      </c>
      <c r="BN566" t="s">
        <v>74</v>
      </c>
      <c r="BO566" t="s">
        <v>74</v>
      </c>
      <c r="BP566" t="s">
        <v>74</v>
      </c>
      <c r="BQ566" t="s">
        <v>74</v>
      </c>
      <c r="BR566" t="s">
        <v>97</v>
      </c>
      <c r="BS566" t="s">
        <v>8268</v>
      </c>
      <c r="BT566" t="str">
        <f>HYPERLINK("https%3A%2F%2Fwww.webofscience.com%2Fwos%2Fwoscc%2Ffull-record%2FWOS:000183782300123","View Full Record in Web of Science")</f>
        <v>View Full Record in Web of Science</v>
      </c>
    </row>
    <row r="567" spans="1:72" x14ac:dyDescent="0.15">
      <c r="A567" t="s">
        <v>72</v>
      </c>
      <c r="B567" t="s">
        <v>8269</v>
      </c>
      <c r="C567" t="s">
        <v>74</v>
      </c>
      <c r="D567" t="s">
        <v>74</v>
      </c>
      <c r="E567" t="s">
        <v>74</v>
      </c>
      <c r="F567" t="s">
        <v>8269</v>
      </c>
      <c r="G567" t="s">
        <v>74</v>
      </c>
      <c r="H567" t="s">
        <v>74</v>
      </c>
      <c r="I567" t="s">
        <v>8270</v>
      </c>
      <c r="J567" t="s">
        <v>8232</v>
      </c>
      <c r="K567" t="s">
        <v>74</v>
      </c>
      <c r="L567" t="s">
        <v>74</v>
      </c>
      <c r="M567" t="s">
        <v>77</v>
      </c>
      <c r="N567" t="s">
        <v>159</v>
      </c>
      <c r="O567" t="s">
        <v>8233</v>
      </c>
      <c r="P567" t="s">
        <v>8234</v>
      </c>
      <c r="Q567" t="s">
        <v>8235</v>
      </c>
      <c r="R567" t="s">
        <v>74</v>
      </c>
      <c r="S567" t="s">
        <v>74</v>
      </c>
      <c r="T567" t="s">
        <v>74</v>
      </c>
      <c r="U567" t="s">
        <v>8271</v>
      </c>
      <c r="V567" t="s">
        <v>8272</v>
      </c>
      <c r="W567" t="s">
        <v>8273</v>
      </c>
      <c r="X567" t="s">
        <v>8274</v>
      </c>
      <c r="Y567" t="s">
        <v>8275</v>
      </c>
      <c r="Z567" t="s">
        <v>74</v>
      </c>
      <c r="AA567" t="s">
        <v>8276</v>
      </c>
      <c r="AB567" t="s">
        <v>1042</v>
      </c>
      <c r="AC567" t="s">
        <v>74</v>
      </c>
      <c r="AD567" t="s">
        <v>74</v>
      </c>
      <c r="AE567" t="s">
        <v>74</v>
      </c>
      <c r="AF567" t="s">
        <v>74</v>
      </c>
      <c r="AG567">
        <v>12</v>
      </c>
      <c r="AH567">
        <v>0</v>
      </c>
      <c r="AI567">
        <v>0</v>
      </c>
      <c r="AJ567">
        <v>0</v>
      </c>
      <c r="AK567">
        <v>2</v>
      </c>
      <c r="AL567" t="s">
        <v>4670</v>
      </c>
      <c r="AM567" t="s">
        <v>4671</v>
      </c>
      <c r="AN567" t="s">
        <v>4672</v>
      </c>
      <c r="AO567" t="s">
        <v>8241</v>
      </c>
      <c r="AP567" t="s">
        <v>74</v>
      </c>
      <c r="AQ567" t="s">
        <v>74</v>
      </c>
      <c r="AR567" t="s">
        <v>8242</v>
      </c>
      <c r="AS567" t="s">
        <v>8243</v>
      </c>
      <c r="AT567" t="s">
        <v>7577</v>
      </c>
      <c r="AU567">
        <v>2003</v>
      </c>
      <c r="AV567">
        <v>107</v>
      </c>
      <c r="AW567" t="s">
        <v>74</v>
      </c>
      <c r="AX567">
        <v>1</v>
      </c>
      <c r="AY567" t="s">
        <v>74</v>
      </c>
      <c r="AZ567" t="s">
        <v>74</v>
      </c>
      <c r="BA567" t="s">
        <v>74</v>
      </c>
      <c r="BB567">
        <v>629</v>
      </c>
      <c r="BC567">
        <v>632</v>
      </c>
      <c r="BD567" t="s">
        <v>74</v>
      </c>
      <c r="BE567" t="s">
        <v>8277</v>
      </c>
      <c r="BF567" t="str">
        <f>HYPERLINK("http://dx.doi.org/10.1051/jp4:20030382","http://dx.doi.org/10.1051/jp4:20030382")</f>
        <v>http://dx.doi.org/10.1051/jp4:20030382</v>
      </c>
      <c r="BG567" t="s">
        <v>74</v>
      </c>
      <c r="BH567" t="s">
        <v>74</v>
      </c>
      <c r="BI567">
        <v>4</v>
      </c>
      <c r="BJ567" t="s">
        <v>428</v>
      </c>
      <c r="BK567" t="s">
        <v>854</v>
      </c>
      <c r="BL567" t="s">
        <v>429</v>
      </c>
      <c r="BM567" t="s">
        <v>8245</v>
      </c>
      <c r="BN567" t="s">
        <v>74</v>
      </c>
      <c r="BO567" t="s">
        <v>74</v>
      </c>
      <c r="BP567" t="s">
        <v>74</v>
      </c>
      <c r="BQ567" t="s">
        <v>74</v>
      </c>
      <c r="BR567" t="s">
        <v>97</v>
      </c>
      <c r="BS567" t="s">
        <v>8278</v>
      </c>
      <c r="BT567" t="str">
        <f>HYPERLINK("https%3A%2F%2Fwww.webofscience.com%2Fwos%2Fwoscc%2Ffull-record%2FWOS:000183782300155","View Full Record in Web of Science")</f>
        <v>View Full Record in Web of Science</v>
      </c>
    </row>
    <row r="568" spans="1:72" x14ac:dyDescent="0.15">
      <c r="A568" t="s">
        <v>72</v>
      </c>
      <c r="B568" t="s">
        <v>8279</v>
      </c>
      <c r="C568" t="s">
        <v>74</v>
      </c>
      <c r="D568" t="s">
        <v>74</v>
      </c>
      <c r="E568" t="s">
        <v>74</v>
      </c>
      <c r="F568" t="s">
        <v>8279</v>
      </c>
      <c r="G568" t="s">
        <v>74</v>
      </c>
      <c r="H568" t="s">
        <v>74</v>
      </c>
      <c r="I568" t="s">
        <v>8280</v>
      </c>
      <c r="J568" t="s">
        <v>8232</v>
      </c>
      <c r="K568" t="s">
        <v>74</v>
      </c>
      <c r="L568" t="s">
        <v>74</v>
      </c>
      <c r="M568" t="s">
        <v>77</v>
      </c>
      <c r="N568" t="s">
        <v>159</v>
      </c>
      <c r="O568" t="s">
        <v>8233</v>
      </c>
      <c r="P568" t="s">
        <v>8234</v>
      </c>
      <c r="Q568" t="s">
        <v>8235</v>
      </c>
      <c r="R568" t="s">
        <v>74</v>
      </c>
      <c r="S568" t="s">
        <v>74</v>
      </c>
      <c r="T568" t="s">
        <v>74</v>
      </c>
      <c r="U568" t="s">
        <v>8281</v>
      </c>
      <c r="V568" t="s">
        <v>8282</v>
      </c>
      <c r="W568" t="s">
        <v>8283</v>
      </c>
      <c r="X568" t="s">
        <v>8284</v>
      </c>
      <c r="Y568" t="s">
        <v>8285</v>
      </c>
      <c r="Z568" t="s">
        <v>74</v>
      </c>
      <c r="AA568" t="s">
        <v>8286</v>
      </c>
      <c r="AB568" t="s">
        <v>8287</v>
      </c>
      <c r="AC568" t="s">
        <v>74</v>
      </c>
      <c r="AD568" t="s">
        <v>74</v>
      </c>
      <c r="AE568" t="s">
        <v>74</v>
      </c>
      <c r="AF568" t="s">
        <v>74</v>
      </c>
      <c r="AG568">
        <v>17</v>
      </c>
      <c r="AH568">
        <v>3</v>
      </c>
      <c r="AI568">
        <v>3</v>
      </c>
      <c r="AJ568">
        <v>0</v>
      </c>
      <c r="AK568">
        <v>4</v>
      </c>
      <c r="AL568" t="s">
        <v>4670</v>
      </c>
      <c r="AM568" t="s">
        <v>4671</v>
      </c>
      <c r="AN568" t="s">
        <v>4672</v>
      </c>
      <c r="AO568" t="s">
        <v>8241</v>
      </c>
      <c r="AP568" t="s">
        <v>74</v>
      </c>
      <c r="AQ568" t="s">
        <v>74</v>
      </c>
      <c r="AR568" t="s">
        <v>8242</v>
      </c>
      <c r="AS568" t="s">
        <v>8243</v>
      </c>
      <c r="AT568" t="s">
        <v>7577</v>
      </c>
      <c r="AU568">
        <v>2003</v>
      </c>
      <c r="AV568">
        <v>107</v>
      </c>
      <c r="AW568" t="s">
        <v>74</v>
      </c>
      <c r="AX568">
        <v>1</v>
      </c>
      <c r="AY568" t="s">
        <v>74</v>
      </c>
      <c r="AZ568" t="s">
        <v>74</v>
      </c>
      <c r="BA568" t="s">
        <v>74</v>
      </c>
      <c r="BB568">
        <v>633</v>
      </c>
      <c r="BC568">
        <v>636</v>
      </c>
      <c r="BD568" t="s">
        <v>74</v>
      </c>
      <c r="BE568" t="s">
        <v>8288</v>
      </c>
      <c r="BF568" t="str">
        <f>HYPERLINK("http://dx.doi.org/10.1051/jp4:20030383","http://dx.doi.org/10.1051/jp4:20030383")</f>
        <v>http://dx.doi.org/10.1051/jp4:20030383</v>
      </c>
      <c r="BG568" t="s">
        <v>74</v>
      </c>
      <c r="BH568" t="s">
        <v>74</v>
      </c>
      <c r="BI568">
        <v>4</v>
      </c>
      <c r="BJ568" t="s">
        <v>428</v>
      </c>
      <c r="BK568" t="s">
        <v>854</v>
      </c>
      <c r="BL568" t="s">
        <v>429</v>
      </c>
      <c r="BM568" t="s">
        <v>8245</v>
      </c>
      <c r="BN568" t="s">
        <v>74</v>
      </c>
      <c r="BO568" t="s">
        <v>74</v>
      </c>
      <c r="BP568" t="s">
        <v>74</v>
      </c>
      <c r="BQ568" t="s">
        <v>74</v>
      </c>
      <c r="BR568" t="s">
        <v>97</v>
      </c>
      <c r="BS568" t="s">
        <v>8289</v>
      </c>
      <c r="BT568" t="str">
        <f>HYPERLINK("https%3A%2F%2Fwww.webofscience.com%2Fwos%2Fwoscc%2Ffull-record%2FWOS:000183782300156","View Full Record in Web of Science")</f>
        <v>View Full Record in Web of Science</v>
      </c>
    </row>
    <row r="569" spans="1:72" x14ac:dyDescent="0.15">
      <c r="A569" t="s">
        <v>72</v>
      </c>
      <c r="B569" t="s">
        <v>8290</v>
      </c>
      <c r="C569" t="s">
        <v>74</v>
      </c>
      <c r="D569" t="s">
        <v>74</v>
      </c>
      <c r="E569" t="s">
        <v>74</v>
      </c>
      <c r="F569" t="s">
        <v>8290</v>
      </c>
      <c r="G569" t="s">
        <v>74</v>
      </c>
      <c r="H569" t="s">
        <v>74</v>
      </c>
      <c r="I569" t="s">
        <v>8291</v>
      </c>
      <c r="J569" t="s">
        <v>8232</v>
      </c>
      <c r="K569" t="s">
        <v>74</v>
      </c>
      <c r="L569" t="s">
        <v>74</v>
      </c>
      <c r="M569" t="s">
        <v>77</v>
      </c>
      <c r="N569" t="s">
        <v>159</v>
      </c>
      <c r="O569" t="s">
        <v>8233</v>
      </c>
      <c r="P569" t="s">
        <v>8234</v>
      </c>
      <c r="Q569" t="s">
        <v>8235</v>
      </c>
      <c r="R569" t="s">
        <v>74</v>
      </c>
      <c r="S569" t="s">
        <v>74</v>
      </c>
      <c r="T569" t="s">
        <v>74</v>
      </c>
      <c r="U569" t="s">
        <v>8292</v>
      </c>
      <c r="V569" t="s">
        <v>8293</v>
      </c>
      <c r="W569" t="s">
        <v>8294</v>
      </c>
      <c r="X569" t="s">
        <v>8295</v>
      </c>
      <c r="Y569" t="s">
        <v>8296</v>
      </c>
      <c r="Z569" t="s">
        <v>74</v>
      </c>
      <c r="AA569" t="s">
        <v>8297</v>
      </c>
      <c r="AB569" t="s">
        <v>8298</v>
      </c>
      <c r="AC569" t="s">
        <v>74</v>
      </c>
      <c r="AD569" t="s">
        <v>74</v>
      </c>
      <c r="AE569" t="s">
        <v>74</v>
      </c>
      <c r="AF569" t="s">
        <v>74</v>
      </c>
      <c r="AG569">
        <v>8</v>
      </c>
      <c r="AH569">
        <v>0</v>
      </c>
      <c r="AI569">
        <v>0</v>
      </c>
      <c r="AJ569">
        <v>0</v>
      </c>
      <c r="AK569">
        <v>6</v>
      </c>
      <c r="AL569" t="s">
        <v>4670</v>
      </c>
      <c r="AM569" t="s">
        <v>4671</v>
      </c>
      <c r="AN569" t="s">
        <v>4672</v>
      </c>
      <c r="AO569" t="s">
        <v>8241</v>
      </c>
      <c r="AP569" t="s">
        <v>74</v>
      </c>
      <c r="AQ569" t="s">
        <v>74</v>
      </c>
      <c r="AR569" t="s">
        <v>8242</v>
      </c>
      <c r="AS569" t="s">
        <v>8243</v>
      </c>
      <c r="AT569" t="s">
        <v>7577</v>
      </c>
      <c r="AU569">
        <v>2003</v>
      </c>
      <c r="AV569">
        <v>107</v>
      </c>
      <c r="AW569" t="s">
        <v>74</v>
      </c>
      <c r="AX569">
        <v>2</v>
      </c>
      <c r="AY569" t="s">
        <v>74</v>
      </c>
      <c r="AZ569" t="s">
        <v>74</v>
      </c>
      <c r="BA569" t="s">
        <v>74</v>
      </c>
      <c r="BB569">
        <v>1067</v>
      </c>
      <c r="BC569">
        <v>1070</v>
      </c>
      <c r="BD569" t="s">
        <v>74</v>
      </c>
      <c r="BE569" t="s">
        <v>8299</v>
      </c>
      <c r="BF569" t="str">
        <f>HYPERLINK("http://dx.doi.org/10.1051/jp4:20030484","http://dx.doi.org/10.1051/jp4:20030484")</f>
        <v>http://dx.doi.org/10.1051/jp4:20030484</v>
      </c>
      <c r="BG569" t="s">
        <v>74</v>
      </c>
      <c r="BH569" t="s">
        <v>74</v>
      </c>
      <c r="BI569">
        <v>4</v>
      </c>
      <c r="BJ569" t="s">
        <v>428</v>
      </c>
      <c r="BK569" t="s">
        <v>854</v>
      </c>
      <c r="BL569" t="s">
        <v>429</v>
      </c>
      <c r="BM569" t="s">
        <v>8300</v>
      </c>
      <c r="BN569" t="s">
        <v>74</v>
      </c>
      <c r="BO569" t="s">
        <v>74</v>
      </c>
      <c r="BP569" t="s">
        <v>74</v>
      </c>
      <c r="BQ569" t="s">
        <v>74</v>
      </c>
      <c r="BR569" t="s">
        <v>97</v>
      </c>
      <c r="BS569" t="s">
        <v>8301</v>
      </c>
      <c r="BT569" t="str">
        <f>HYPERLINK("https%3A%2F%2Fwww.webofscience.com%2Fwos%2Fwoscc%2Ffull-record%2FWOS:000183782500082","View Full Record in Web of Science")</f>
        <v>View Full Record in Web of Science</v>
      </c>
    </row>
    <row r="570" spans="1:72" x14ac:dyDescent="0.15">
      <c r="A570" t="s">
        <v>72</v>
      </c>
      <c r="B570" t="s">
        <v>8302</v>
      </c>
      <c r="C570" t="s">
        <v>74</v>
      </c>
      <c r="D570" t="s">
        <v>74</v>
      </c>
      <c r="E570" t="s">
        <v>74</v>
      </c>
      <c r="F570" t="s">
        <v>8302</v>
      </c>
      <c r="G570" t="s">
        <v>74</v>
      </c>
      <c r="H570" t="s">
        <v>74</v>
      </c>
      <c r="I570" t="s">
        <v>8303</v>
      </c>
      <c r="J570" t="s">
        <v>8232</v>
      </c>
      <c r="K570" t="s">
        <v>74</v>
      </c>
      <c r="L570" t="s">
        <v>74</v>
      </c>
      <c r="M570" t="s">
        <v>77</v>
      </c>
      <c r="N570" t="s">
        <v>159</v>
      </c>
      <c r="O570" t="s">
        <v>8233</v>
      </c>
      <c r="P570" t="s">
        <v>8234</v>
      </c>
      <c r="Q570" t="s">
        <v>8235</v>
      </c>
      <c r="R570" t="s">
        <v>74</v>
      </c>
      <c r="S570" t="s">
        <v>74</v>
      </c>
      <c r="T570" t="s">
        <v>74</v>
      </c>
      <c r="U570" t="s">
        <v>8304</v>
      </c>
      <c r="V570" t="s">
        <v>8305</v>
      </c>
      <c r="W570" t="s">
        <v>8306</v>
      </c>
      <c r="X570" t="s">
        <v>5756</v>
      </c>
      <c r="Y570" t="s">
        <v>8307</v>
      </c>
      <c r="Z570" t="s">
        <v>74</v>
      </c>
      <c r="AA570" t="s">
        <v>5758</v>
      </c>
      <c r="AB570" t="s">
        <v>5759</v>
      </c>
      <c r="AC570" t="s">
        <v>74</v>
      </c>
      <c r="AD570" t="s">
        <v>74</v>
      </c>
      <c r="AE570" t="s">
        <v>74</v>
      </c>
      <c r="AF570" t="s">
        <v>74</v>
      </c>
      <c r="AG570">
        <v>32</v>
      </c>
      <c r="AH570">
        <v>2</v>
      </c>
      <c r="AI570">
        <v>3</v>
      </c>
      <c r="AJ570">
        <v>0</v>
      </c>
      <c r="AK570">
        <v>12</v>
      </c>
      <c r="AL570" t="s">
        <v>5532</v>
      </c>
      <c r="AM570" t="s">
        <v>5533</v>
      </c>
      <c r="AN570" t="s">
        <v>5534</v>
      </c>
      <c r="AO570" t="s">
        <v>8241</v>
      </c>
      <c r="AP570" t="s">
        <v>74</v>
      </c>
      <c r="AQ570" t="s">
        <v>74</v>
      </c>
      <c r="AR570" t="s">
        <v>8242</v>
      </c>
      <c r="AS570" t="s">
        <v>8243</v>
      </c>
      <c r="AT570" t="s">
        <v>7577</v>
      </c>
      <c r="AU570">
        <v>2003</v>
      </c>
      <c r="AV570">
        <v>107</v>
      </c>
      <c r="AW570" t="s">
        <v>74</v>
      </c>
      <c r="AX570">
        <v>2</v>
      </c>
      <c r="AY570" t="s">
        <v>74</v>
      </c>
      <c r="AZ570" t="s">
        <v>74</v>
      </c>
      <c r="BA570" t="s">
        <v>74</v>
      </c>
      <c r="BB570">
        <v>1329</v>
      </c>
      <c r="BC570">
        <v>1332</v>
      </c>
      <c r="BD570" t="s">
        <v>74</v>
      </c>
      <c r="BE570" t="s">
        <v>8308</v>
      </c>
      <c r="BF570" t="str">
        <f>HYPERLINK("http://dx.doi.org/10.1051/jp4:20030546","http://dx.doi.org/10.1051/jp4:20030546")</f>
        <v>http://dx.doi.org/10.1051/jp4:20030546</v>
      </c>
      <c r="BG570" t="s">
        <v>74</v>
      </c>
      <c r="BH570" t="s">
        <v>74</v>
      </c>
      <c r="BI570">
        <v>4</v>
      </c>
      <c r="BJ570" t="s">
        <v>428</v>
      </c>
      <c r="BK570" t="s">
        <v>177</v>
      </c>
      <c r="BL570" t="s">
        <v>429</v>
      </c>
      <c r="BM570" t="s">
        <v>8300</v>
      </c>
      <c r="BN570" t="s">
        <v>74</v>
      </c>
      <c r="BO570" t="s">
        <v>74</v>
      </c>
      <c r="BP570" t="s">
        <v>74</v>
      </c>
      <c r="BQ570" t="s">
        <v>74</v>
      </c>
      <c r="BR570" t="s">
        <v>97</v>
      </c>
      <c r="BS570" t="s">
        <v>8309</v>
      </c>
      <c r="BT570" t="str">
        <f>HYPERLINK("https%3A%2F%2Fwww.webofscience.com%2Fwos%2Fwoscc%2Ffull-record%2FWOS:000183782500144","View Full Record in Web of Science")</f>
        <v>View Full Record in Web of Science</v>
      </c>
    </row>
    <row r="571" spans="1:72" x14ac:dyDescent="0.15">
      <c r="A571" t="s">
        <v>72</v>
      </c>
      <c r="B571" t="s">
        <v>8310</v>
      </c>
      <c r="C571" t="s">
        <v>74</v>
      </c>
      <c r="D571" t="s">
        <v>74</v>
      </c>
      <c r="E571" t="s">
        <v>74</v>
      </c>
      <c r="F571" t="s">
        <v>8310</v>
      </c>
      <c r="G571" t="s">
        <v>74</v>
      </c>
      <c r="H571" t="s">
        <v>74</v>
      </c>
      <c r="I571" t="s">
        <v>8311</v>
      </c>
      <c r="J571" t="s">
        <v>8312</v>
      </c>
      <c r="K571" t="s">
        <v>74</v>
      </c>
      <c r="L571" t="s">
        <v>74</v>
      </c>
      <c r="M571" t="s">
        <v>77</v>
      </c>
      <c r="N571" t="s">
        <v>78</v>
      </c>
      <c r="O571" t="s">
        <v>74</v>
      </c>
      <c r="P571" t="s">
        <v>74</v>
      </c>
      <c r="Q571" t="s">
        <v>74</v>
      </c>
      <c r="R571" t="s">
        <v>74</v>
      </c>
      <c r="S571" t="s">
        <v>74</v>
      </c>
      <c r="T571" t="s">
        <v>8313</v>
      </c>
      <c r="U571" t="s">
        <v>8314</v>
      </c>
      <c r="V571" t="s">
        <v>8315</v>
      </c>
      <c r="W571" t="s">
        <v>8316</v>
      </c>
      <c r="X571" t="s">
        <v>8317</v>
      </c>
      <c r="Y571" t="s">
        <v>8318</v>
      </c>
      <c r="Z571" t="s">
        <v>74</v>
      </c>
      <c r="AA571" t="s">
        <v>74</v>
      </c>
      <c r="AB571" t="s">
        <v>74</v>
      </c>
      <c r="AC571" t="s">
        <v>74</v>
      </c>
      <c r="AD571" t="s">
        <v>74</v>
      </c>
      <c r="AE571" t="s">
        <v>74</v>
      </c>
      <c r="AF571" t="s">
        <v>74</v>
      </c>
      <c r="AG571">
        <v>13</v>
      </c>
      <c r="AH571">
        <v>14</v>
      </c>
      <c r="AI571">
        <v>15</v>
      </c>
      <c r="AJ571">
        <v>0</v>
      </c>
      <c r="AK571">
        <v>3</v>
      </c>
      <c r="AL571" t="s">
        <v>169</v>
      </c>
      <c r="AM571" t="s">
        <v>170</v>
      </c>
      <c r="AN571" t="s">
        <v>171</v>
      </c>
      <c r="AO571" t="s">
        <v>8319</v>
      </c>
      <c r="AP571" t="s">
        <v>74</v>
      </c>
      <c r="AQ571" t="s">
        <v>74</v>
      </c>
      <c r="AR571" t="s">
        <v>8320</v>
      </c>
      <c r="AS571" t="s">
        <v>8321</v>
      </c>
      <c r="AT571" t="s">
        <v>7577</v>
      </c>
      <c r="AU571">
        <v>2003</v>
      </c>
      <c r="AV571">
        <v>65</v>
      </c>
      <c r="AW571">
        <v>8</v>
      </c>
      <c r="AX571" t="s">
        <v>74</v>
      </c>
      <c r="AY571" t="s">
        <v>74</v>
      </c>
      <c r="AZ571" t="s">
        <v>74</v>
      </c>
      <c r="BA571" t="s">
        <v>74</v>
      </c>
      <c r="BB571">
        <v>947</v>
      </c>
      <c r="BC571">
        <v>956</v>
      </c>
      <c r="BD571" t="s">
        <v>74</v>
      </c>
      <c r="BE571" t="s">
        <v>8322</v>
      </c>
      <c r="BF571" t="str">
        <f>HYPERLINK("http://dx.doi.org/10.1016/S1364-6826(03)00112-3","http://dx.doi.org/10.1016/S1364-6826(03)00112-3")</f>
        <v>http://dx.doi.org/10.1016/S1364-6826(03)00112-3</v>
      </c>
      <c r="BG571" t="s">
        <v>74</v>
      </c>
      <c r="BH571" t="s">
        <v>74</v>
      </c>
      <c r="BI571">
        <v>10</v>
      </c>
      <c r="BJ571" t="s">
        <v>8323</v>
      </c>
      <c r="BK571" t="s">
        <v>94</v>
      </c>
      <c r="BL571" t="s">
        <v>8323</v>
      </c>
      <c r="BM571" t="s">
        <v>8324</v>
      </c>
      <c r="BN571" t="s">
        <v>74</v>
      </c>
      <c r="BO571" t="s">
        <v>74</v>
      </c>
      <c r="BP571" t="s">
        <v>74</v>
      </c>
      <c r="BQ571" t="s">
        <v>74</v>
      </c>
      <c r="BR571" t="s">
        <v>97</v>
      </c>
      <c r="BS571" t="s">
        <v>8325</v>
      </c>
      <c r="BT571" t="str">
        <f>HYPERLINK("https%3A%2F%2Fwww.webofscience.com%2Fwos%2Fwoscc%2Ffull-record%2FWOS:000184352100005","View Full Record in Web of Science")</f>
        <v>View Full Record in Web of Science</v>
      </c>
    </row>
    <row r="572" spans="1:72" x14ac:dyDescent="0.15">
      <c r="A572" t="s">
        <v>72</v>
      </c>
      <c r="B572" t="s">
        <v>8326</v>
      </c>
      <c r="C572" t="s">
        <v>74</v>
      </c>
      <c r="D572" t="s">
        <v>74</v>
      </c>
      <c r="E572" t="s">
        <v>74</v>
      </c>
      <c r="F572" t="s">
        <v>8326</v>
      </c>
      <c r="G572" t="s">
        <v>74</v>
      </c>
      <c r="H572" t="s">
        <v>74</v>
      </c>
      <c r="I572" t="s">
        <v>8327</v>
      </c>
      <c r="J572" t="s">
        <v>8328</v>
      </c>
      <c r="K572" t="s">
        <v>74</v>
      </c>
      <c r="L572" t="s">
        <v>74</v>
      </c>
      <c r="M572" t="s">
        <v>77</v>
      </c>
      <c r="N572" t="s">
        <v>78</v>
      </c>
      <c r="O572" t="s">
        <v>74</v>
      </c>
      <c r="P572" t="s">
        <v>74</v>
      </c>
      <c r="Q572" t="s">
        <v>74</v>
      </c>
      <c r="R572" t="s">
        <v>74</v>
      </c>
      <c r="S572" t="s">
        <v>74</v>
      </c>
      <c r="T572" t="s">
        <v>8329</v>
      </c>
      <c r="U572" t="s">
        <v>8330</v>
      </c>
      <c r="V572" t="s">
        <v>8331</v>
      </c>
      <c r="W572" t="s">
        <v>8332</v>
      </c>
      <c r="X572" t="s">
        <v>8333</v>
      </c>
      <c r="Y572" t="s">
        <v>74</v>
      </c>
      <c r="Z572" t="s">
        <v>74</v>
      </c>
      <c r="AA572" t="s">
        <v>8334</v>
      </c>
      <c r="AB572" t="s">
        <v>8335</v>
      </c>
      <c r="AC572" t="s">
        <v>74</v>
      </c>
      <c r="AD572" t="s">
        <v>74</v>
      </c>
      <c r="AE572" t="s">
        <v>74</v>
      </c>
      <c r="AF572" t="s">
        <v>74</v>
      </c>
      <c r="AG572">
        <v>34</v>
      </c>
      <c r="AH572">
        <v>14</v>
      </c>
      <c r="AI572">
        <v>14</v>
      </c>
      <c r="AJ572">
        <v>0</v>
      </c>
      <c r="AK572">
        <v>2</v>
      </c>
      <c r="AL572" t="s">
        <v>207</v>
      </c>
      <c r="AM572" t="s">
        <v>208</v>
      </c>
      <c r="AN572" t="s">
        <v>209</v>
      </c>
      <c r="AO572" t="s">
        <v>8336</v>
      </c>
      <c r="AP572" t="s">
        <v>8337</v>
      </c>
      <c r="AQ572" t="s">
        <v>74</v>
      </c>
      <c r="AR572" t="s">
        <v>8338</v>
      </c>
      <c r="AS572" t="s">
        <v>8339</v>
      </c>
      <c r="AT572" t="s">
        <v>7577</v>
      </c>
      <c r="AU572">
        <v>2003</v>
      </c>
      <c r="AV572">
        <v>45</v>
      </c>
      <c r="AW572">
        <v>1</v>
      </c>
      <c r="AX572" t="s">
        <v>74</v>
      </c>
      <c r="AY572" t="s">
        <v>74</v>
      </c>
      <c r="AZ572" t="s">
        <v>74</v>
      </c>
      <c r="BA572" t="s">
        <v>74</v>
      </c>
      <c r="BB572">
        <v>51</v>
      </c>
      <c r="BC572">
        <v>77</v>
      </c>
      <c r="BD572" t="s">
        <v>74</v>
      </c>
      <c r="BE572" t="s">
        <v>8340</v>
      </c>
      <c r="BF572" t="str">
        <f>HYPERLINK("http://dx.doi.org/10.1023/A:1024056026432","http://dx.doi.org/10.1023/A:1024056026432")</f>
        <v>http://dx.doi.org/10.1023/A:1024056026432</v>
      </c>
      <c r="BG572" t="s">
        <v>74</v>
      </c>
      <c r="BH572" t="s">
        <v>74</v>
      </c>
      <c r="BI572">
        <v>27</v>
      </c>
      <c r="BJ572" t="s">
        <v>4485</v>
      </c>
      <c r="BK572" t="s">
        <v>94</v>
      </c>
      <c r="BL572" t="s">
        <v>4486</v>
      </c>
      <c r="BM572" t="s">
        <v>8341</v>
      </c>
      <c r="BN572" t="s">
        <v>74</v>
      </c>
      <c r="BO572" t="s">
        <v>74</v>
      </c>
      <c r="BP572" t="s">
        <v>74</v>
      </c>
      <c r="BQ572" t="s">
        <v>74</v>
      </c>
      <c r="BR572" t="s">
        <v>97</v>
      </c>
      <c r="BS572" t="s">
        <v>8342</v>
      </c>
      <c r="BT572" t="str">
        <f>HYPERLINK("https%3A%2F%2Fwww.webofscience.com%2Fwos%2Fwoscc%2Ffull-record%2FWOS:000183325000004","View Full Record in Web of Science")</f>
        <v>View Full Record in Web of Science</v>
      </c>
    </row>
    <row r="573" spans="1:72" x14ac:dyDescent="0.15">
      <c r="A573" t="s">
        <v>72</v>
      </c>
      <c r="B573" t="s">
        <v>8343</v>
      </c>
      <c r="C573" t="s">
        <v>74</v>
      </c>
      <c r="D573" t="s">
        <v>74</v>
      </c>
      <c r="E573" t="s">
        <v>74</v>
      </c>
      <c r="F573" t="s">
        <v>8343</v>
      </c>
      <c r="G573" t="s">
        <v>74</v>
      </c>
      <c r="H573" t="s">
        <v>74</v>
      </c>
      <c r="I573" t="s">
        <v>8344</v>
      </c>
      <c r="J573" t="s">
        <v>8345</v>
      </c>
      <c r="K573" t="s">
        <v>74</v>
      </c>
      <c r="L573" t="s">
        <v>74</v>
      </c>
      <c r="M573" t="s">
        <v>77</v>
      </c>
      <c r="N573" t="s">
        <v>78</v>
      </c>
      <c r="O573" t="s">
        <v>74</v>
      </c>
      <c r="P573" t="s">
        <v>74</v>
      </c>
      <c r="Q573" t="s">
        <v>74</v>
      </c>
      <c r="R573" t="s">
        <v>74</v>
      </c>
      <c r="S573" t="s">
        <v>74</v>
      </c>
      <c r="T573" t="s">
        <v>74</v>
      </c>
      <c r="U573" t="s">
        <v>8346</v>
      </c>
      <c r="V573" t="s">
        <v>8347</v>
      </c>
      <c r="W573" t="s">
        <v>8348</v>
      </c>
      <c r="X573" t="s">
        <v>8349</v>
      </c>
      <c r="Y573" t="s">
        <v>8350</v>
      </c>
      <c r="Z573" t="s">
        <v>74</v>
      </c>
      <c r="AA573" t="s">
        <v>74</v>
      </c>
      <c r="AB573" t="s">
        <v>8351</v>
      </c>
      <c r="AC573" t="s">
        <v>74</v>
      </c>
      <c r="AD573" t="s">
        <v>74</v>
      </c>
      <c r="AE573" t="s">
        <v>74</v>
      </c>
      <c r="AF573" t="s">
        <v>74</v>
      </c>
      <c r="AG573">
        <v>32</v>
      </c>
      <c r="AH573">
        <v>81</v>
      </c>
      <c r="AI573">
        <v>85</v>
      </c>
      <c r="AJ573">
        <v>0</v>
      </c>
      <c r="AK573">
        <v>47</v>
      </c>
      <c r="AL573" t="s">
        <v>4346</v>
      </c>
      <c r="AM573" t="s">
        <v>540</v>
      </c>
      <c r="AN573" t="s">
        <v>4347</v>
      </c>
      <c r="AO573" t="s">
        <v>8352</v>
      </c>
      <c r="AP573" t="s">
        <v>74</v>
      </c>
      <c r="AQ573" t="s">
        <v>74</v>
      </c>
      <c r="AR573" t="s">
        <v>8353</v>
      </c>
      <c r="AS573" t="s">
        <v>8354</v>
      </c>
      <c r="AT573" t="s">
        <v>7592</v>
      </c>
      <c r="AU573">
        <v>2003</v>
      </c>
      <c r="AV573">
        <v>48</v>
      </c>
      <c r="AW573">
        <v>3</v>
      </c>
      <c r="AX573" t="s">
        <v>74</v>
      </c>
      <c r="AY573" t="s">
        <v>74</v>
      </c>
      <c r="AZ573" t="s">
        <v>74</v>
      </c>
      <c r="BA573" t="s">
        <v>74</v>
      </c>
      <c r="BB573">
        <v>612</v>
      </c>
      <c r="BC573">
        <v>616</v>
      </c>
      <c r="BD573" t="s">
        <v>74</v>
      </c>
      <c r="BE573" t="s">
        <v>8355</v>
      </c>
      <c r="BF573" t="str">
        <f>HYPERLINK("http://dx.doi.org/10.1021/je025608x","http://dx.doi.org/10.1021/je025608x")</f>
        <v>http://dx.doi.org/10.1021/je025608x</v>
      </c>
      <c r="BG573" t="s">
        <v>74</v>
      </c>
      <c r="BH573" t="s">
        <v>74</v>
      </c>
      <c r="BI573">
        <v>5</v>
      </c>
      <c r="BJ573" t="s">
        <v>8356</v>
      </c>
      <c r="BK573" t="s">
        <v>94</v>
      </c>
      <c r="BL573" t="s">
        <v>8357</v>
      </c>
      <c r="BM573" t="s">
        <v>8358</v>
      </c>
      <c r="BN573" t="s">
        <v>74</v>
      </c>
      <c r="BO573" t="s">
        <v>74</v>
      </c>
      <c r="BP573" t="s">
        <v>74</v>
      </c>
      <c r="BQ573" t="s">
        <v>74</v>
      </c>
      <c r="BR573" t="s">
        <v>97</v>
      </c>
      <c r="BS573" t="s">
        <v>8359</v>
      </c>
      <c r="BT573" t="str">
        <f>HYPERLINK("https%3A%2F%2Fwww.webofscience.com%2Fwos%2Fwoscc%2Ffull-record%2FWOS:000182765600030","View Full Record in Web of Science")</f>
        <v>View Full Record in Web of Science</v>
      </c>
    </row>
    <row r="574" spans="1:72" x14ac:dyDescent="0.15">
      <c r="A574" t="s">
        <v>72</v>
      </c>
      <c r="B574" t="s">
        <v>8360</v>
      </c>
      <c r="C574" t="s">
        <v>74</v>
      </c>
      <c r="D574" t="s">
        <v>74</v>
      </c>
      <c r="E574" t="s">
        <v>74</v>
      </c>
      <c r="F574" t="s">
        <v>8360</v>
      </c>
      <c r="G574" t="s">
        <v>74</v>
      </c>
      <c r="H574" t="s">
        <v>74</v>
      </c>
      <c r="I574" t="s">
        <v>8361</v>
      </c>
      <c r="J574" t="s">
        <v>76</v>
      </c>
      <c r="K574" t="s">
        <v>74</v>
      </c>
      <c r="L574" t="s">
        <v>74</v>
      </c>
      <c r="M574" t="s">
        <v>77</v>
      </c>
      <c r="N574" t="s">
        <v>78</v>
      </c>
      <c r="O574" t="s">
        <v>74</v>
      </c>
      <c r="P574" t="s">
        <v>74</v>
      </c>
      <c r="Q574" t="s">
        <v>74</v>
      </c>
      <c r="R574" t="s">
        <v>74</v>
      </c>
      <c r="S574" t="s">
        <v>74</v>
      </c>
      <c r="T574" t="s">
        <v>74</v>
      </c>
      <c r="U574" t="s">
        <v>8362</v>
      </c>
      <c r="V574" t="s">
        <v>8363</v>
      </c>
      <c r="W574" t="s">
        <v>8364</v>
      </c>
      <c r="X574" t="s">
        <v>8365</v>
      </c>
      <c r="Y574" t="s">
        <v>8366</v>
      </c>
      <c r="Z574" t="s">
        <v>74</v>
      </c>
      <c r="AA574" t="s">
        <v>8367</v>
      </c>
      <c r="AB574" t="s">
        <v>8368</v>
      </c>
      <c r="AC574" t="s">
        <v>74</v>
      </c>
      <c r="AD574" t="s">
        <v>74</v>
      </c>
      <c r="AE574" t="s">
        <v>74</v>
      </c>
      <c r="AF574" t="s">
        <v>74</v>
      </c>
      <c r="AG574">
        <v>24</v>
      </c>
      <c r="AH574">
        <v>86</v>
      </c>
      <c r="AI574">
        <v>92</v>
      </c>
      <c r="AJ574">
        <v>0</v>
      </c>
      <c r="AK574">
        <v>5</v>
      </c>
      <c r="AL574" t="s">
        <v>85</v>
      </c>
      <c r="AM574" t="s">
        <v>86</v>
      </c>
      <c r="AN574" t="s">
        <v>87</v>
      </c>
      <c r="AO574" t="s">
        <v>88</v>
      </c>
      <c r="AP574" t="s">
        <v>74</v>
      </c>
      <c r="AQ574" t="s">
        <v>74</v>
      </c>
      <c r="AR574" t="s">
        <v>89</v>
      </c>
      <c r="AS574" t="s">
        <v>90</v>
      </c>
      <c r="AT574" t="s">
        <v>7577</v>
      </c>
      <c r="AU574">
        <v>2003</v>
      </c>
      <c r="AV574">
        <v>16</v>
      </c>
      <c r="AW574">
        <v>9</v>
      </c>
      <c r="AX574" t="s">
        <v>74</v>
      </c>
      <c r="AY574" t="s">
        <v>74</v>
      </c>
      <c r="AZ574" t="s">
        <v>74</v>
      </c>
      <c r="BA574" t="s">
        <v>74</v>
      </c>
      <c r="BB574">
        <v>1378</v>
      </c>
      <c r="BC574">
        <v>1390</v>
      </c>
      <c r="BD574" t="s">
        <v>74</v>
      </c>
      <c r="BE574" t="s">
        <v>8369</v>
      </c>
      <c r="BF574" t="str">
        <f>HYPERLINK("http://dx.doi.org/10.1175/1520-0442(2003)16&lt;1378:TTMEAA&gt;2.0.CO;2","http://dx.doi.org/10.1175/1520-0442(2003)16&lt;1378:TTMEAA&gt;2.0.CO;2")</f>
        <v>http://dx.doi.org/10.1175/1520-0442(2003)16&lt;1378:TTMEAA&gt;2.0.CO;2</v>
      </c>
      <c r="BG574" t="s">
        <v>74</v>
      </c>
      <c r="BH574" t="s">
        <v>74</v>
      </c>
      <c r="BI574">
        <v>13</v>
      </c>
      <c r="BJ574" t="s">
        <v>93</v>
      </c>
      <c r="BK574" t="s">
        <v>94</v>
      </c>
      <c r="BL574" t="s">
        <v>93</v>
      </c>
      <c r="BM574" t="s">
        <v>8370</v>
      </c>
      <c r="BN574" t="s">
        <v>74</v>
      </c>
      <c r="BO574" t="s">
        <v>759</v>
      </c>
      <c r="BP574" t="s">
        <v>74</v>
      </c>
      <c r="BQ574" t="s">
        <v>74</v>
      </c>
      <c r="BR574" t="s">
        <v>97</v>
      </c>
      <c r="BS574" t="s">
        <v>8371</v>
      </c>
      <c r="BT574" t="str">
        <f>HYPERLINK("https%3A%2F%2Fwww.webofscience.com%2Fwos%2Fwoscc%2Ffull-record%2FWOS:000182538900008","View Full Record in Web of Science")</f>
        <v>View Full Record in Web of Science</v>
      </c>
    </row>
    <row r="575" spans="1:72" x14ac:dyDescent="0.15">
      <c r="A575" t="s">
        <v>72</v>
      </c>
      <c r="B575" t="s">
        <v>8372</v>
      </c>
      <c r="C575" t="s">
        <v>74</v>
      </c>
      <c r="D575" t="s">
        <v>74</v>
      </c>
      <c r="E575" t="s">
        <v>74</v>
      </c>
      <c r="F575" t="s">
        <v>8372</v>
      </c>
      <c r="G575" t="s">
        <v>74</v>
      </c>
      <c r="H575" t="s">
        <v>74</v>
      </c>
      <c r="I575" t="s">
        <v>8373</v>
      </c>
      <c r="J575" t="s">
        <v>124</v>
      </c>
      <c r="K575" t="s">
        <v>74</v>
      </c>
      <c r="L575" t="s">
        <v>74</v>
      </c>
      <c r="M575" t="s">
        <v>77</v>
      </c>
      <c r="N575" t="s">
        <v>78</v>
      </c>
      <c r="O575" t="s">
        <v>74</v>
      </c>
      <c r="P575" t="s">
        <v>74</v>
      </c>
      <c r="Q575" t="s">
        <v>74</v>
      </c>
      <c r="R575" t="s">
        <v>74</v>
      </c>
      <c r="S575" t="s">
        <v>74</v>
      </c>
      <c r="T575" t="s">
        <v>8374</v>
      </c>
      <c r="U575" t="s">
        <v>8375</v>
      </c>
      <c r="V575" t="s">
        <v>8376</v>
      </c>
      <c r="W575" t="s">
        <v>8377</v>
      </c>
      <c r="X575" t="s">
        <v>8378</v>
      </c>
      <c r="Y575" t="s">
        <v>8379</v>
      </c>
      <c r="Z575" t="s">
        <v>74</v>
      </c>
      <c r="AA575" t="s">
        <v>8380</v>
      </c>
      <c r="AB575" t="s">
        <v>8381</v>
      </c>
      <c r="AC575" t="s">
        <v>74</v>
      </c>
      <c r="AD575" t="s">
        <v>74</v>
      </c>
      <c r="AE575" t="s">
        <v>74</v>
      </c>
      <c r="AF575" t="s">
        <v>74</v>
      </c>
      <c r="AG575">
        <v>32</v>
      </c>
      <c r="AH575">
        <v>52</v>
      </c>
      <c r="AI575">
        <v>63</v>
      </c>
      <c r="AJ575">
        <v>0</v>
      </c>
      <c r="AK575">
        <v>29</v>
      </c>
      <c r="AL575" t="s">
        <v>131</v>
      </c>
      <c r="AM575" t="s">
        <v>132</v>
      </c>
      <c r="AN575" t="s">
        <v>133</v>
      </c>
      <c r="AO575" t="s">
        <v>134</v>
      </c>
      <c r="AP575" t="s">
        <v>74</v>
      </c>
      <c r="AQ575" t="s">
        <v>74</v>
      </c>
      <c r="AR575" t="s">
        <v>135</v>
      </c>
      <c r="AS575" t="s">
        <v>136</v>
      </c>
      <c r="AT575" t="s">
        <v>7577</v>
      </c>
      <c r="AU575">
        <v>2003</v>
      </c>
      <c r="AV575">
        <v>206</v>
      </c>
      <c r="AW575">
        <v>9</v>
      </c>
      <c r="AX575" t="s">
        <v>74</v>
      </c>
      <c r="AY575" t="s">
        <v>74</v>
      </c>
      <c r="AZ575" t="s">
        <v>74</v>
      </c>
      <c r="BA575" t="s">
        <v>74</v>
      </c>
      <c r="BB575">
        <v>1497</v>
      </c>
      <c r="BC575">
        <v>1501</v>
      </c>
      <c r="BD575" t="s">
        <v>74</v>
      </c>
      <c r="BE575" t="s">
        <v>8382</v>
      </c>
      <c r="BF575" t="str">
        <f>HYPERLINK("http://dx.doi.org/10.1242/jeb.00287","http://dx.doi.org/10.1242/jeb.00287")</f>
        <v>http://dx.doi.org/10.1242/jeb.00287</v>
      </c>
      <c r="BG575" t="s">
        <v>74</v>
      </c>
      <c r="BH575" t="s">
        <v>74</v>
      </c>
      <c r="BI575">
        <v>5</v>
      </c>
      <c r="BJ575" t="s">
        <v>138</v>
      </c>
      <c r="BK575" t="s">
        <v>94</v>
      </c>
      <c r="BL575" t="s">
        <v>139</v>
      </c>
      <c r="BM575" t="s">
        <v>8383</v>
      </c>
      <c r="BN575">
        <v>12654888</v>
      </c>
      <c r="BO575" t="s">
        <v>154</v>
      </c>
      <c r="BP575" t="s">
        <v>74</v>
      </c>
      <c r="BQ575" t="s">
        <v>74</v>
      </c>
      <c r="BR575" t="s">
        <v>97</v>
      </c>
      <c r="BS575" t="s">
        <v>8384</v>
      </c>
      <c r="BT575" t="str">
        <f>HYPERLINK("https%3A%2F%2Fwww.webofscience.com%2Fwos%2Fwoscc%2Ffull-record%2FWOS:000182804100016","View Full Record in Web of Science")</f>
        <v>View Full Record in Web of Science</v>
      </c>
    </row>
    <row r="576" spans="1:72" x14ac:dyDescent="0.15">
      <c r="A576" t="s">
        <v>72</v>
      </c>
      <c r="B576" t="s">
        <v>8385</v>
      </c>
      <c r="C576" t="s">
        <v>74</v>
      </c>
      <c r="D576" t="s">
        <v>74</v>
      </c>
      <c r="E576" t="s">
        <v>74</v>
      </c>
      <c r="F576" t="s">
        <v>8385</v>
      </c>
      <c r="G576" t="s">
        <v>74</v>
      </c>
      <c r="H576" t="s">
        <v>74</v>
      </c>
      <c r="I576" t="s">
        <v>8386</v>
      </c>
      <c r="J576" t="s">
        <v>6704</v>
      </c>
      <c r="K576" t="s">
        <v>74</v>
      </c>
      <c r="L576" t="s">
        <v>74</v>
      </c>
      <c r="M576" t="s">
        <v>77</v>
      </c>
      <c r="N576" t="s">
        <v>78</v>
      </c>
      <c r="O576" t="s">
        <v>74</v>
      </c>
      <c r="P576" t="s">
        <v>74</v>
      </c>
      <c r="Q576" t="s">
        <v>74</v>
      </c>
      <c r="R576" t="s">
        <v>74</v>
      </c>
      <c r="S576" t="s">
        <v>74</v>
      </c>
      <c r="T576" t="s">
        <v>8387</v>
      </c>
      <c r="U576" t="s">
        <v>8388</v>
      </c>
      <c r="V576" t="s">
        <v>8389</v>
      </c>
      <c r="W576" t="s">
        <v>8390</v>
      </c>
      <c r="X576" t="s">
        <v>8391</v>
      </c>
      <c r="Y576" t="s">
        <v>8392</v>
      </c>
      <c r="Z576" t="s">
        <v>74</v>
      </c>
      <c r="AA576" t="s">
        <v>8393</v>
      </c>
      <c r="AB576" t="s">
        <v>8394</v>
      </c>
      <c r="AC576" t="s">
        <v>74</v>
      </c>
      <c r="AD576" t="s">
        <v>74</v>
      </c>
      <c r="AE576" t="s">
        <v>74</v>
      </c>
      <c r="AF576" t="s">
        <v>74</v>
      </c>
      <c r="AG576">
        <v>14</v>
      </c>
      <c r="AH576">
        <v>41</v>
      </c>
      <c r="AI576">
        <v>44</v>
      </c>
      <c r="AJ576">
        <v>1</v>
      </c>
      <c r="AK576">
        <v>9</v>
      </c>
      <c r="AL576" t="s">
        <v>342</v>
      </c>
      <c r="AM576" t="s">
        <v>229</v>
      </c>
      <c r="AN576" t="s">
        <v>343</v>
      </c>
      <c r="AO576" t="s">
        <v>6712</v>
      </c>
      <c r="AP576" t="s">
        <v>74</v>
      </c>
      <c r="AQ576" t="s">
        <v>74</v>
      </c>
      <c r="AR576" t="s">
        <v>6714</v>
      </c>
      <c r="AS576" t="s">
        <v>6715</v>
      </c>
      <c r="AT576" t="s">
        <v>7577</v>
      </c>
      <c r="AU576">
        <v>2003</v>
      </c>
      <c r="AV576">
        <v>77</v>
      </c>
      <c r="AW576" t="s">
        <v>787</v>
      </c>
      <c r="AX576" t="s">
        <v>74</v>
      </c>
      <c r="AY576" t="s">
        <v>74</v>
      </c>
      <c r="AZ576" t="s">
        <v>74</v>
      </c>
      <c r="BA576" t="s">
        <v>74</v>
      </c>
      <c r="BB576">
        <v>15</v>
      </c>
      <c r="BC576">
        <v>21</v>
      </c>
      <c r="BD576" t="s">
        <v>74</v>
      </c>
      <c r="BE576" t="s">
        <v>8395</v>
      </c>
      <c r="BF576" t="str">
        <f>HYPERLINK("http://dx.doi.org/10.1007/s00190-002-0308-z","http://dx.doi.org/10.1007/s00190-002-0308-z")</f>
        <v>http://dx.doi.org/10.1007/s00190-002-0308-z</v>
      </c>
      <c r="BG576" t="s">
        <v>74</v>
      </c>
      <c r="BH576" t="s">
        <v>74</v>
      </c>
      <c r="BI576">
        <v>7</v>
      </c>
      <c r="BJ576" t="s">
        <v>6717</v>
      </c>
      <c r="BK576" t="s">
        <v>94</v>
      </c>
      <c r="BL576" t="s">
        <v>6717</v>
      </c>
      <c r="BM576" t="s">
        <v>8396</v>
      </c>
      <c r="BN576" t="s">
        <v>74</v>
      </c>
      <c r="BO576" t="s">
        <v>1619</v>
      </c>
      <c r="BP576" t="s">
        <v>74</v>
      </c>
      <c r="BQ576" t="s">
        <v>74</v>
      </c>
      <c r="BR576" t="s">
        <v>97</v>
      </c>
      <c r="BS576" t="s">
        <v>8397</v>
      </c>
      <c r="BT576" t="str">
        <f>HYPERLINK("https%3A%2F%2Fwww.webofscience.com%2Fwos%2Fwoscc%2Ffull-record%2FWOS:000183380400002","View Full Record in Web of Science")</f>
        <v>View Full Record in Web of Science</v>
      </c>
    </row>
    <row r="577" spans="1:72" x14ac:dyDescent="0.15">
      <c r="A577" t="s">
        <v>72</v>
      </c>
      <c r="B577" t="s">
        <v>8398</v>
      </c>
      <c r="C577" t="s">
        <v>74</v>
      </c>
      <c r="D577" t="s">
        <v>74</v>
      </c>
      <c r="E577" t="s">
        <v>74</v>
      </c>
      <c r="F577" t="s">
        <v>8398</v>
      </c>
      <c r="G577" t="s">
        <v>74</v>
      </c>
      <c r="H577" t="s">
        <v>74</v>
      </c>
      <c r="I577" t="s">
        <v>8399</v>
      </c>
      <c r="J577" t="s">
        <v>5185</v>
      </c>
      <c r="K577" t="s">
        <v>74</v>
      </c>
      <c r="L577" t="s">
        <v>74</v>
      </c>
      <c r="M577" t="s">
        <v>77</v>
      </c>
      <c r="N577" t="s">
        <v>78</v>
      </c>
      <c r="O577" t="s">
        <v>74</v>
      </c>
      <c r="P577" t="s">
        <v>74</v>
      </c>
      <c r="Q577" t="s">
        <v>74</v>
      </c>
      <c r="R577" t="s">
        <v>74</v>
      </c>
      <c r="S577" t="s">
        <v>74</v>
      </c>
      <c r="T577" t="s">
        <v>74</v>
      </c>
      <c r="U577" t="s">
        <v>8400</v>
      </c>
      <c r="V577" t="s">
        <v>8401</v>
      </c>
      <c r="W577" t="s">
        <v>8402</v>
      </c>
      <c r="X577" t="s">
        <v>82</v>
      </c>
      <c r="Y577" t="s">
        <v>8403</v>
      </c>
      <c r="Z577" t="s">
        <v>8404</v>
      </c>
      <c r="AA577" t="s">
        <v>6773</v>
      </c>
      <c r="AB577" t="s">
        <v>6774</v>
      </c>
      <c r="AC577" t="s">
        <v>74</v>
      </c>
      <c r="AD577" t="s">
        <v>74</v>
      </c>
      <c r="AE577" t="s">
        <v>74</v>
      </c>
      <c r="AF577" t="s">
        <v>74</v>
      </c>
      <c r="AG577">
        <v>38</v>
      </c>
      <c r="AH577">
        <v>22</v>
      </c>
      <c r="AI577">
        <v>24</v>
      </c>
      <c r="AJ577">
        <v>0</v>
      </c>
      <c r="AK577">
        <v>2</v>
      </c>
      <c r="AL577" t="s">
        <v>5192</v>
      </c>
      <c r="AM577" t="s">
        <v>5193</v>
      </c>
      <c r="AN577" t="s">
        <v>5194</v>
      </c>
      <c r="AO577" t="s">
        <v>5195</v>
      </c>
      <c r="AP577" t="s">
        <v>8405</v>
      </c>
      <c r="AQ577" t="s">
        <v>74</v>
      </c>
      <c r="AR577" t="s">
        <v>5196</v>
      </c>
      <c r="AS577" t="s">
        <v>5197</v>
      </c>
      <c r="AT577" t="s">
        <v>7577</v>
      </c>
      <c r="AU577">
        <v>2003</v>
      </c>
      <c r="AV577">
        <v>61</v>
      </c>
      <c r="AW577">
        <v>3</v>
      </c>
      <c r="AX577" t="s">
        <v>74</v>
      </c>
      <c r="AY577" t="s">
        <v>74</v>
      </c>
      <c r="AZ577" t="s">
        <v>74</v>
      </c>
      <c r="BA577" t="s">
        <v>74</v>
      </c>
      <c r="BB577">
        <v>313</v>
      </c>
      <c r="BC577">
        <v>334</v>
      </c>
      <c r="BD577" t="s">
        <v>74</v>
      </c>
      <c r="BE577" t="s">
        <v>8406</v>
      </c>
      <c r="BF577" t="str">
        <f>HYPERLINK("http://dx.doi.org/10.1357/002224003322201214","http://dx.doi.org/10.1357/002224003322201214")</f>
        <v>http://dx.doi.org/10.1357/002224003322201214</v>
      </c>
      <c r="BG577" t="s">
        <v>74</v>
      </c>
      <c r="BH577" t="s">
        <v>74</v>
      </c>
      <c r="BI577">
        <v>22</v>
      </c>
      <c r="BJ577" t="s">
        <v>678</v>
      </c>
      <c r="BK577" t="s">
        <v>94</v>
      </c>
      <c r="BL577" t="s">
        <v>678</v>
      </c>
      <c r="BM577" t="s">
        <v>8407</v>
      </c>
      <c r="BN577" t="s">
        <v>74</v>
      </c>
      <c r="BO577" t="s">
        <v>74</v>
      </c>
      <c r="BP577" t="s">
        <v>74</v>
      </c>
      <c r="BQ577" t="s">
        <v>74</v>
      </c>
      <c r="BR577" t="s">
        <v>97</v>
      </c>
      <c r="BS577" t="s">
        <v>8408</v>
      </c>
      <c r="BT577" t="str">
        <f>HYPERLINK("https%3A%2F%2Fwww.webofscience.com%2Fwos%2Fwoscc%2Ffull-record%2FWOS:000184565700002","View Full Record in Web of Science")</f>
        <v>View Full Record in Web of Science</v>
      </c>
    </row>
    <row r="578" spans="1:72" x14ac:dyDescent="0.15">
      <c r="A578" t="s">
        <v>72</v>
      </c>
      <c r="B578" t="s">
        <v>8409</v>
      </c>
      <c r="C578" t="s">
        <v>74</v>
      </c>
      <c r="D578" t="s">
        <v>74</v>
      </c>
      <c r="E578" t="s">
        <v>74</v>
      </c>
      <c r="F578" t="s">
        <v>8409</v>
      </c>
      <c r="G578" t="s">
        <v>74</v>
      </c>
      <c r="H578" t="s">
        <v>74</v>
      </c>
      <c r="I578" t="s">
        <v>8410</v>
      </c>
      <c r="J578" t="s">
        <v>8411</v>
      </c>
      <c r="K578" t="s">
        <v>74</v>
      </c>
      <c r="L578" t="s">
        <v>74</v>
      </c>
      <c r="M578" t="s">
        <v>77</v>
      </c>
      <c r="N578" t="s">
        <v>556</v>
      </c>
      <c r="O578" t="s">
        <v>74</v>
      </c>
      <c r="P578" t="s">
        <v>74</v>
      </c>
      <c r="Q578" t="s">
        <v>74</v>
      </c>
      <c r="R578" t="s">
        <v>74</v>
      </c>
      <c r="S578" t="s">
        <v>74</v>
      </c>
      <c r="T578" t="s">
        <v>8412</v>
      </c>
      <c r="U578" t="s">
        <v>8413</v>
      </c>
      <c r="V578" t="s">
        <v>8414</v>
      </c>
      <c r="W578" t="s">
        <v>8415</v>
      </c>
      <c r="X578" t="s">
        <v>8416</v>
      </c>
      <c r="Y578" t="s">
        <v>8417</v>
      </c>
      <c r="Z578" t="s">
        <v>8418</v>
      </c>
      <c r="AA578" t="s">
        <v>8419</v>
      </c>
      <c r="AB578" t="s">
        <v>8420</v>
      </c>
      <c r="AC578" t="s">
        <v>74</v>
      </c>
      <c r="AD578" t="s">
        <v>74</v>
      </c>
      <c r="AE578" t="s">
        <v>74</v>
      </c>
      <c r="AF578" t="s">
        <v>74</v>
      </c>
      <c r="AG578">
        <v>67</v>
      </c>
      <c r="AH578">
        <v>24</v>
      </c>
      <c r="AI578">
        <v>26</v>
      </c>
      <c r="AJ578">
        <v>1</v>
      </c>
      <c r="AK578">
        <v>14</v>
      </c>
      <c r="AL578" t="s">
        <v>110</v>
      </c>
      <c r="AM578" t="s">
        <v>111</v>
      </c>
      <c r="AN578" t="s">
        <v>112</v>
      </c>
      <c r="AO578" t="s">
        <v>8421</v>
      </c>
      <c r="AP578" t="s">
        <v>8422</v>
      </c>
      <c r="AQ578" t="s">
        <v>74</v>
      </c>
      <c r="AR578" t="s">
        <v>8423</v>
      </c>
      <c r="AS578" t="s">
        <v>8424</v>
      </c>
      <c r="AT578" t="s">
        <v>7577</v>
      </c>
      <c r="AU578">
        <v>2003</v>
      </c>
      <c r="AV578">
        <v>53</v>
      </c>
      <c r="AW578">
        <v>2</v>
      </c>
      <c r="AX578" t="s">
        <v>74</v>
      </c>
      <c r="AY578" t="s">
        <v>74</v>
      </c>
      <c r="AZ578" t="s">
        <v>74</v>
      </c>
      <c r="BA578" t="s">
        <v>74</v>
      </c>
      <c r="BB578">
        <v>157</v>
      </c>
      <c r="BC578">
        <v>164</v>
      </c>
      <c r="BD578" t="s">
        <v>74</v>
      </c>
      <c r="BE578" t="s">
        <v>8425</v>
      </c>
      <c r="BF578" t="str">
        <f>HYPERLINK("http://dx.doi.org/10.1016/S0167-7012(03)00021-6","http://dx.doi.org/10.1016/S0167-7012(03)00021-6")</f>
        <v>http://dx.doi.org/10.1016/S0167-7012(03)00021-6</v>
      </c>
      <c r="BG578" t="s">
        <v>74</v>
      </c>
      <c r="BH578" t="s">
        <v>74</v>
      </c>
      <c r="BI578">
        <v>8</v>
      </c>
      <c r="BJ578" t="s">
        <v>8426</v>
      </c>
      <c r="BK578" t="s">
        <v>94</v>
      </c>
      <c r="BL578" t="s">
        <v>6472</v>
      </c>
      <c r="BM578" t="s">
        <v>8427</v>
      </c>
      <c r="BN578">
        <v>12654487</v>
      </c>
      <c r="BO578" t="s">
        <v>74</v>
      </c>
      <c r="BP578" t="s">
        <v>74</v>
      </c>
      <c r="BQ578" t="s">
        <v>74</v>
      </c>
      <c r="BR578" t="s">
        <v>97</v>
      </c>
      <c r="BS578" t="s">
        <v>8428</v>
      </c>
      <c r="BT578" t="str">
        <f>HYPERLINK("https%3A%2F%2Fwww.webofscience.com%2Fwos%2Fwoscc%2Ffull-record%2FWOS:000182299100004","View Full Record in Web of Science")</f>
        <v>View Full Record in Web of Science</v>
      </c>
    </row>
    <row r="579" spans="1:72" x14ac:dyDescent="0.15">
      <c r="A579" t="s">
        <v>72</v>
      </c>
      <c r="B579" t="s">
        <v>8429</v>
      </c>
      <c r="C579" t="s">
        <v>74</v>
      </c>
      <c r="D579" t="s">
        <v>74</v>
      </c>
      <c r="E579" t="s">
        <v>74</v>
      </c>
      <c r="F579" t="s">
        <v>8429</v>
      </c>
      <c r="G579" t="s">
        <v>74</v>
      </c>
      <c r="H579" t="s">
        <v>74</v>
      </c>
      <c r="I579" t="s">
        <v>8430</v>
      </c>
      <c r="J579" t="s">
        <v>3874</v>
      </c>
      <c r="K579" t="s">
        <v>74</v>
      </c>
      <c r="L579" t="s">
        <v>74</v>
      </c>
      <c r="M579" t="s">
        <v>77</v>
      </c>
      <c r="N579" t="s">
        <v>78</v>
      </c>
      <c r="O579" t="s">
        <v>74</v>
      </c>
      <c r="P579" t="s">
        <v>74</v>
      </c>
      <c r="Q579" t="s">
        <v>74</v>
      </c>
      <c r="R579" t="s">
        <v>74</v>
      </c>
      <c r="S579" t="s">
        <v>74</v>
      </c>
      <c r="T579" t="s">
        <v>74</v>
      </c>
      <c r="U579" t="s">
        <v>8431</v>
      </c>
      <c r="V579" t="s">
        <v>8432</v>
      </c>
      <c r="W579" t="s">
        <v>8433</v>
      </c>
      <c r="X579" t="s">
        <v>1099</v>
      </c>
      <c r="Y579" t="s">
        <v>8434</v>
      </c>
      <c r="Z579" t="s">
        <v>74</v>
      </c>
      <c r="AA579" t="s">
        <v>6793</v>
      </c>
      <c r="AB579" t="s">
        <v>74</v>
      </c>
      <c r="AC579" t="s">
        <v>74</v>
      </c>
      <c r="AD579" t="s">
        <v>74</v>
      </c>
      <c r="AE579" t="s">
        <v>74</v>
      </c>
      <c r="AF579" t="s">
        <v>74</v>
      </c>
      <c r="AG579">
        <v>28</v>
      </c>
      <c r="AH579">
        <v>140</v>
      </c>
      <c r="AI579">
        <v>144</v>
      </c>
      <c r="AJ579">
        <v>1</v>
      </c>
      <c r="AK579">
        <v>12</v>
      </c>
      <c r="AL579" t="s">
        <v>85</v>
      </c>
      <c r="AM579" t="s">
        <v>86</v>
      </c>
      <c r="AN579" t="s">
        <v>87</v>
      </c>
      <c r="AO579" t="s">
        <v>3878</v>
      </c>
      <c r="AP579" t="s">
        <v>74</v>
      </c>
      <c r="AQ579" t="s">
        <v>74</v>
      </c>
      <c r="AR579" t="s">
        <v>3879</v>
      </c>
      <c r="AS579" t="s">
        <v>3880</v>
      </c>
      <c r="AT579" t="s">
        <v>7577</v>
      </c>
      <c r="AU579">
        <v>2003</v>
      </c>
      <c r="AV579">
        <v>33</v>
      </c>
      <c r="AW579">
        <v>5</v>
      </c>
      <c r="AX579" t="s">
        <v>74</v>
      </c>
      <c r="AY579" t="s">
        <v>74</v>
      </c>
      <c r="AZ579" t="s">
        <v>74</v>
      </c>
      <c r="BA579" t="s">
        <v>74</v>
      </c>
      <c r="BB579">
        <v>945</v>
      </c>
      <c r="BC579">
        <v>963</v>
      </c>
      <c r="BD579" t="s">
        <v>74</v>
      </c>
      <c r="BE579" t="s">
        <v>8435</v>
      </c>
      <c r="BF579" t="str">
        <f>HYPERLINK("http://dx.doi.org/10.1175/1520-0485(2003)033&lt;0945:PEACOV&gt;2.0.CO;2","http://dx.doi.org/10.1175/1520-0485(2003)033&lt;0945:PEACOV&gt;2.0.CO;2")</f>
        <v>http://dx.doi.org/10.1175/1520-0485(2003)033&lt;0945:PEACOV&gt;2.0.CO;2</v>
      </c>
      <c r="BG579" t="s">
        <v>74</v>
      </c>
      <c r="BH579" t="s">
        <v>74</v>
      </c>
      <c r="BI579">
        <v>19</v>
      </c>
      <c r="BJ579" t="s">
        <v>678</v>
      </c>
      <c r="BK579" t="s">
        <v>94</v>
      </c>
      <c r="BL579" t="s">
        <v>678</v>
      </c>
      <c r="BM579" t="s">
        <v>8436</v>
      </c>
      <c r="BN579" t="s">
        <v>74</v>
      </c>
      <c r="BO579" t="s">
        <v>759</v>
      </c>
      <c r="BP579" t="s">
        <v>74</v>
      </c>
      <c r="BQ579" t="s">
        <v>74</v>
      </c>
      <c r="BR579" t="s">
        <v>97</v>
      </c>
      <c r="BS579" t="s">
        <v>8437</v>
      </c>
      <c r="BT579" t="str">
        <f>HYPERLINK("https%3A%2F%2Fwww.webofscience.com%2Fwos%2Fwoscc%2Ffull-record%2FWOS:000182537200001","View Full Record in Web of Science")</f>
        <v>View Full Record in Web of Science</v>
      </c>
    </row>
    <row r="580" spans="1:72" x14ac:dyDescent="0.15">
      <c r="A580" t="s">
        <v>72</v>
      </c>
      <c r="B580" t="s">
        <v>8438</v>
      </c>
      <c r="C580" t="s">
        <v>74</v>
      </c>
      <c r="D580" t="s">
        <v>74</v>
      </c>
      <c r="E580" t="s">
        <v>74</v>
      </c>
      <c r="F580" t="s">
        <v>8438</v>
      </c>
      <c r="G580" t="s">
        <v>74</v>
      </c>
      <c r="H580" t="s">
        <v>74</v>
      </c>
      <c r="I580" t="s">
        <v>8439</v>
      </c>
      <c r="J580" t="s">
        <v>3874</v>
      </c>
      <c r="K580" t="s">
        <v>74</v>
      </c>
      <c r="L580" t="s">
        <v>74</v>
      </c>
      <c r="M580" t="s">
        <v>77</v>
      </c>
      <c r="N580" t="s">
        <v>78</v>
      </c>
      <c r="O580" t="s">
        <v>74</v>
      </c>
      <c r="P580" t="s">
        <v>74</v>
      </c>
      <c r="Q580" t="s">
        <v>74</v>
      </c>
      <c r="R580" t="s">
        <v>74</v>
      </c>
      <c r="S580" t="s">
        <v>74</v>
      </c>
      <c r="T580" t="s">
        <v>74</v>
      </c>
      <c r="U580" t="s">
        <v>8440</v>
      </c>
      <c r="V580" t="s">
        <v>8441</v>
      </c>
      <c r="W580" t="s">
        <v>81</v>
      </c>
      <c r="X580" t="s">
        <v>82</v>
      </c>
      <c r="Y580" t="s">
        <v>8442</v>
      </c>
      <c r="Z580" t="s">
        <v>74</v>
      </c>
      <c r="AA580" t="s">
        <v>74</v>
      </c>
      <c r="AB580" t="s">
        <v>74</v>
      </c>
      <c r="AC580" t="s">
        <v>74</v>
      </c>
      <c r="AD580" t="s">
        <v>74</v>
      </c>
      <c r="AE580" t="s">
        <v>74</v>
      </c>
      <c r="AF580" t="s">
        <v>74</v>
      </c>
      <c r="AG580">
        <v>35</v>
      </c>
      <c r="AH580">
        <v>42</v>
      </c>
      <c r="AI580">
        <v>56</v>
      </c>
      <c r="AJ580">
        <v>2</v>
      </c>
      <c r="AK580">
        <v>12</v>
      </c>
      <c r="AL580" t="s">
        <v>85</v>
      </c>
      <c r="AM580" t="s">
        <v>86</v>
      </c>
      <c r="AN580" t="s">
        <v>87</v>
      </c>
      <c r="AO580" t="s">
        <v>3878</v>
      </c>
      <c r="AP580" t="s">
        <v>74</v>
      </c>
      <c r="AQ580" t="s">
        <v>74</v>
      </c>
      <c r="AR580" t="s">
        <v>3879</v>
      </c>
      <c r="AS580" t="s">
        <v>3880</v>
      </c>
      <c r="AT580" t="s">
        <v>7577</v>
      </c>
      <c r="AU580">
        <v>2003</v>
      </c>
      <c r="AV580">
        <v>33</v>
      </c>
      <c r="AW580">
        <v>5</v>
      </c>
      <c r="AX580" t="s">
        <v>74</v>
      </c>
      <c r="AY580" t="s">
        <v>74</v>
      </c>
      <c r="AZ580" t="s">
        <v>74</v>
      </c>
      <c r="BA580" t="s">
        <v>74</v>
      </c>
      <c r="BB580">
        <v>1095</v>
      </c>
      <c r="BC580">
        <v>1107</v>
      </c>
      <c r="BD580" t="s">
        <v>74</v>
      </c>
      <c r="BE580" t="s">
        <v>8443</v>
      </c>
      <c r="BF580" t="str">
        <f>HYPERLINK("http://dx.doi.org/10.1175/1520-0485(2003)033&lt;1095:COEMEI&gt;2.0.CO;2","http://dx.doi.org/10.1175/1520-0485(2003)033&lt;1095:COEMEI&gt;2.0.CO;2")</f>
        <v>http://dx.doi.org/10.1175/1520-0485(2003)033&lt;1095:COEMEI&gt;2.0.CO;2</v>
      </c>
      <c r="BG580" t="s">
        <v>74</v>
      </c>
      <c r="BH580" t="s">
        <v>74</v>
      </c>
      <c r="BI580">
        <v>13</v>
      </c>
      <c r="BJ580" t="s">
        <v>678</v>
      </c>
      <c r="BK580" t="s">
        <v>94</v>
      </c>
      <c r="BL580" t="s">
        <v>678</v>
      </c>
      <c r="BM580" t="s">
        <v>8436</v>
      </c>
      <c r="BN580" t="s">
        <v>74</v>
      </c>
      <c r="BO580" t="s">
        <v>759</v>
      </c>
      <c r="BP580" t="s">
        <v>74</v>
      </c>
      <c r="BQ580" t="s">
        <v>74</v>
      </c>
      <c r="BR580" t="s">
        <v>97</v>
      </c>
      <c r="BS580" t="s">
        <v>8444</v>
      </c>
      <c r="BT580" t="str">
        <f>HYPERLINK("https%3A%2F%2Fwww.webofscience.com%2Fwos%2Fwoscc%2Ffull-record%2FWOS:000182537200010","View Full Record in Web of Science")</f>
        <v>View Full Record in Web of Science</v>
      </c>
    </row>
    <row r="581" spans="1:72" x14ac:dyDescent="0.15">
      <c r="A581" t="s">
        <v>72</v>
      </c>
      <c r="B581" t="s">
        <v>8445</v>
      </c>
      <c r="C581" t="s">
        <v>74</v>
      </c>
      <c r="D581" t="s">
        <v>74</v>
      </c>
      <c r="E581" t="s">
        <v>74</v>
      </c>
      <c r="F581" t="s">
        <v>8445</v>
      </c>
      <c r="G581" t="s">
        <v>74</v>
      </c>
      <c r="H581" t="s">
        <v>74</v>
      </c>
      <c r="I581" t="s">
        <v>8446</v>
      </c>
      <c r="J581" t="s">
        <v>3897</v>
      </c>
      <c r="K581" t="s">
        <v>74</v>
      </c>
      <c r="L581" t="s">
        <v>74</v>
      </c>
      <c r="M581" t="s">
        <v>77</v>
      </c>
      <c r="N581" t="s">
        <v>773</v>
      </c>
      <c r="O581" t="s">
        <v>74</v>
      </c>
      <c r="P581" t="s">
        <v>74</v>
      </c>
      <c r="Q581" t="s">
        <v>74</v>
      </c>
      <c r="R581" t="s">
        <v>74</v>
      </c>
      <c r="S581" t="s">
        <v>74</v>
      </c>
      <c r="T581" t="s">
        <v>74</v>
      </c>
      <c r="U581" t="s">
        <v>74</v>
      </c>
      <c r="V581" t="s">
        <v>74</v>
      </c>
      <c r="W581" t="s">
        <v>8447</v>
      </c>
      <c r="X581" t="s">
        <v>8448</v>
      </c>
      <c r="Y581" t="s">
        <v>8449</v>
      </c>
      <c r="Z581" t="s">
        <v>74</v>
      </c>
      <c r="AA581" t="s">
        <v>74</v>
      </c>
      <c r="AB581" t="s">
        <v>74</v>
      </c>
      <c r="AC581" t="s">
        <v>74</v>
      </c>
      <c r="AD581" t="s">
        <v>74</v>
      </c>
      <c r="AE581" t="s">
        <v>74</v>
      </c>
      <c r="AF581" t="s">
        <v>74</v>
      </c>
      <c r="AG581">
        <v>0</v>
      </c>
      <c r="AH581">
        <v>0</v>
      </c>
      <c r="AI581">
        <v>0</v>
      </c>
      <c r="AJ581">
        <v>0</v>
      </c>
      <c r="AK581">
        <v>0</v>
      </c>
      <c r="AL581" t="s">
        <v>169</v>
      </c>
      <c r="AM581" t="s">
        <v>170</v>
      </c>
      <c r="AN581" t="s">
        <v>171</v>
      </c>
      <c r="AO581" t="s">
        <v>3906</v>
      </c>
      <c r="AP581" t="s">
        <v>74</v>
      </c>
      <c r="AQ581" t="s">
        <v>74</v>
      </c>
      <c r="AR581" t="s">
        <v>3907</v>
      </c>
      <c r="AS581" t="s">
        <v>3908</v>
      </c>
      <c r="AT581" t="s">
        <v>7577</v>
      </c>
      <c r="AU581">
        <v>2003</v>
      </c>
      <c r="AV581">
        <v>16</v>
      </c>
      <c r="AW581">
        <v>1</v>
      </c>
      <c r="AX581" t="s">
        <v>74</v>
      </c>
      <c r="AY581" t="s">
        <v>74</v>
      </c>
      <c r="AZ581" t="s">
        <v>74</v>
      </c>
      <c r="BA581" t="s">
        <v>74</v>
      </c>
      <c r="BB581">
        <v>1</v>
      </c>
      <c r="BC581">
        <v>3</v>
      </c>
      <c r="BD581" t="s">
        <v>74</v>
      </c>
      <c r="BE581" t="s">
        <v>8450</v>
      </c>
      <c r="BF581" t="str">
        <f>HYPERLINK("http://dx.doi.org/10.1016/S0895-9811(03)00023-3","http://dx.doi.org/10.1016/S0895-9811(03)00023-3")</f>
        <v>http://dx.doi.org/10.1016/S0895-9811(03)00023-3</v>
      </c>
      <c r="BG581" t="s">
        <v>74</v>
      </c>
      <c r="BH581" t="s">
        <v>74</v>
      </c>
      <c r="BI581">
        <v>3</v>
      </c>
      <c r="BJ581" t="s">
        <v>548</v>
      </c>
      <c r="BK581" t="s">
        <v>94</v>
      </c>
      <c r="BL581" t="s">
        <v>549</v>
      </c>
      <c r="BM581" t="s">
        <v>8451</v>
      </c>
      <c r="BN581" t="s">
        <v>74</v>
      </c>
      <c r="BO581" t="s">
        <v>74</v>
      </c>
      <c r="BP581" t="s">
        <v>74</v>
      </c>
      <c r="BQ581" t="s">
        <v>74</v>
      </c>
      <c r="BR581" t="s">
        <v>97</v>
      </c>
      <c r="BS581" t="s">
        <v>8452</v>
      </c>
      <c r="BT581" t="str">
        <f>HYPERLINK("https%3A%2F%2Fwww.webofscience.com%2Fwos%2Fwoscc%2Ffull-record%2FWOS:000184038600001","View Full Record in Web of Science")</f>
        <v>View Full Record in Web of Science</v>
      </c>
    </row>
    <row r="582" spans="1:72" x14ac:dyDescent="0.15">
      <c r="A582" t="s">
        <v>72</v>
      </c>
      <c r="B582" t="s">
        <v>8453</v>
      </c>
      <c r="C582" t="s">
        <v>74</v>
      </c>
      <c r="D582" t="s">
        <v>74</v>
      </c>
      <c r="E582" t="s">
        <v>74</v>
      </c>
      <c r="F582" t="s">
        <v>8453</v>
      </c>
      <c r="G582" t="s">
        <v>74</v>
      </c>
      <c r="H582" t="s">
        <v>74</v>
      </c>
      <c r="I582" t="s">
        <v>8454</v>
      </c>
      <c r="J582" t="s">
        <v>3897</v>
      </c>
      <c r="K582" t="s">
        <v>74</v>
      </c>
      <c r="L582" t="s">
        <v>74</v>
      </c>
      <c r="M582" t="s">
        <v>77</v>
      </c>
      <c r="N582" t="s">
        <v>159</v>
      </c>
      <c r="O582" t="s">
        <v>8455</v>
      </c>
      <c r="P582" t="s">
        <v>8456</v>
      </c>
      <c r="Q582" t="s">
        <v>8457</v>
      </c>
      <c r="R582" t="s">
        <v>74</v>
      </c>
      <c r="S582" t="s">
        <v>74</v>
      </c>
      <c r="T582" t="s">
        <v>8458</v>
      </c>
      <c r="U582" t="s">
        <v>8459</v>
      </c>
      <c r="V582" t="s">
        <v>8460</v>
      </c>
      <c r="W582" t="s">
        <v>8461</v>
      </c>
      <c r="X582" t="s">
        <v>8462</v>
      </c>
      <c r="Y582" t="s">
        <v>8463</v>
      </c>
      <c r="Z582" t="s">
        <v>8464</v>
      </c>
      <c r="AA582" t="s">
        <v>74</v>
      </c>
      <c r="AB582" t="s">
        <v>74</v>
      </c>
      <c r="AC582" t="s">
        <v>74</v>
      </c>
      <c r="AD582" t="s">
        <v>74</v>
      </c>
      <c r="AE582" t="s">
        <v>74</v>
      </c>
      <c r="AF582" t="s">
        <v>74</v>
      </c>
      <c r="AG582">
        <v>52</v>
      </c>
      <c r="AH582">
        <v>74</v>
      </c>
      <c r="AI582">
        <v>88</v>
      </c>
      <c r="AJ582">
        <v>0</v>
      </c>
      <c r="AK582">
        <v>1</v>
      </c>
      <c r="AL582" t="s">
        <v>169</v>
      </c>
      <c r="AM582" t="s">
        <v>170</v>
      </c>
      <c r="AN582" t="s">
        <v>171</v>
      </c>
      <c r="AO582" t="s">
        <v>3906</v>
      </c>
      <c r="AP582" t="s">
        <v>74</v>
      </c>
      <c r="AQ582" t="s">
        <v>74</v>
      </c>
      <c r="AR582" t="s">
        <v>3907</v>
      </c>
      <c r="AS582" t="s">
        <v>3908</v>
      </c>
      <c r="AT582" t="s">
        <v>7577</v>
      </c>
      <c r="AU582">
        <v>2003</v>
      </c>
      <c r="AV582">
        <v>16</v>
      </c>
      <c r="AW582">
        <v>1</v>
      </c>
      <c r="AX582" t="s">
        <v>74</v>
      </c>
      <c r="AY582" t="s">
        <v>74</v>
      </c>
      <c r="AZ582" t="s">
        <v>74</v>
      </c>
      <c r="BA582" t="s">
        <v>74</v>
      </c>
      <c r="BB582">
        <v>5</v>
      </c>
      <c r="BC582">
        <v>13</v>
      </c>
      <c r="BD582" t="s">
        <v>74</v>
      </c>
      <c r="BE582" t="s">
        <v>8465</v>
      </c>
      <c r="BF582" t="str">
        <f>HYPERLINK("http://dx.doi.org/10.1016/S0895-9811(03)00015-4","http://dx.doi.org/10.1016/S0895-9811(03)00015-4")</f>
        <v>http://dx.doi.org/10.1016/S0895-9811(03)00015-4</v>
      </c>
      <c r="BG582" t="s">
        <v>74</v>
      </c>
      <c r="BH582" t="s">
        <v>74</v>
      </c>
      <c r="BI582">
        <v>9</v>
      </c>
      <c r="BJ582" t="s">
        <v>548</v>
      </c>
      <c r="BK582" t="s">
        <v>177</v>
      </c>
      <c r="BL582" t="s">
        <v>549</v>
      </c>
      <c r="BM582" t="s">
        <v>8451</v>
      </c>
      <c r="BN582" t="s">
        <v>74</v>
      </c>
      <c r="BO582" t="s">
        <v>74</v>
      </c>
      <c r="BP582" t="s">
        <v>74</v>
      </c>
      <c r="BQ582" t="s">
        <v>74</v>
      </c>
      <c r="BR582" t="s">
        <v>97</v>
      </c>
      <c r="BS582" t="s">
        <v>8466</v>
      </c>
      <c r="BT582" t="str">
        <f>HYPERLINK("https%3A%2F%2Fwww.webofscience.com%2Fwos%2Fwoscc%2Ffull-record%2FWOS:000184038600002","View Full Record in Web of Science")</f>
        <v>View Full Record in Web of Science</v>
      </c>
    </row>
    <row r="583" spans="1:72" x14ac:dyDescent="0.15">
      <c r="A583" t="s">
        <v>72</v>
      </c>
      <c r="B583" t="s">
        <v>8467</v>
      </c>
      <c r="C583" t="s">
        <v>74</v>
      </c>
      <c r="D583" t="s">
        <v>74</v>
      </c>
      <c r="E583" t="s">
        <v>74</v>
      </c>
      <c r="F583" t="s">
        <v>8467</v>
      </c>
      <c r="G583" t="s">
        <v>74</v>
      </c>
      <c r="H583" t="s">
        <v>74</v>
      </c>
      <c r="I583" t="s">
        <v>8468</v>
      </c>
      <c r="J583" t="s">
        <v>3897</v>
      </c>
      <c r="K583" t="s">
        <v>74</v>
      </c>
      <c r="L583" t="s">
        <v>74</v>
      </c>
      <c r="M583" t="s">
        <v>77</v>
      </c>
      <c r="N583" t="s">
        <v>159</v>
      </c>
      <c r="O583" t="s">
        <v>8455</v>
      </c>
      <c r="P583" t="s">
        <v>8456</v>
      </c>
      <c r="Q583" t="s">
        <v>8457</v>
      </c>
      <c r="R583" t="s">
        <v>74</v>
      </c>
      <c r="S583" t="s">
        <v>74</v>
      </c>
      <c r="T583" t="s">
        <v>8469</v>
      </c>
      <c r="U583" t="s">
        <v>8470</v>
      </c>
      <c r="V583" t="s">
        <v>8471</v>
      </c>
      <c r="W583" t="s">
        <v>8472</v>
      </c>
      <c r="X583" t="s">
        <v>8473</v>
      </c>
      <c r="Y583" t="s">
        <v>8474</v>
      </c>
      <c r="Z583" t="s">
        <v>8475</v>
      </c>
      <c r="AA583" t="s">
        <v>5272</v>
      </c>
      <c r="AB583" t="s">
        <v>5273</v>
      </c>
      <c r="AC583" t="s">
        <v>74</v>
      </c>
      <c r="AD583" t="s">
        <v>74</v>
      </c>
      <c r="AE583" t="s">
        <v>74</v>
      </c>
      <c r="AF583" t="s">
        <v>74</v>
      </c>
      <c r="AG583">
        <v>50</v>
      </c>
      <c r="AH583">
        <v>115</v>
      </c>
      <c r="AI583">
        <v>124</v>
      </c>
      <c r="AJ583">
        <v>0</v>
      </c>
      <c r="AK583">
        <v>6</v>
      </c>
      <c r="AL583" t="s">
        <v>169</v>
      </c>
      <c r="AM583" t="s">
        <v>170</v>
      </c>
      <c r="AN583" t="s">
        <v>171</v>
      </c>
      <c r="AO583" t="s">
        <v>3906</v>
      </c>
      <c r="AP583" t="s">
        <v>74</v>
      </c>
      <c r="AQ583" t="s">
        <v>74</v>
      </c>
      <c r="AR583" t="s">
        <v>3907</v>
      </c>
      <c r="AS583" t="s">
        <v>3908</v>
      </c>
      <c r="AT583" t="s">
        <v>7577</v>
      </c>
      <c r="AU583">
        <v>2003</v>
      </c>
      <c r="AV583">
        <v>16</v>
      </c>
      <c r="AW583">
        <v>1</v>
      </c>
      <c r="AX583" t="s">
        <v>74</v>
      </c>
      <c r="AY583" t="s">
        <v>74</v>
      </c>
      <c r="AZ583" t="s">
        <v>74</v>
      </c>
      <c r="BA583" t="s">
        <v>74</v>
      </c>
      <c r="BB583">
        <v>27</v>
      </c>
      <c r="BC583">
        <v>44</v>
      </c>
      <c r="BD583" t="s">
        <v>74</v>
      </c>
      <c r="BE583" t="s">
        <v>8476</v>
      </c>
      <c r="BF583" t="str">
        <f>HYPERLINK("http://dx.doi.org/10.1016/S0895-9811(03)00017-8","http://dx.doi.org/10.1016/S0895-9811(03)00017-8")</f>
        <v>http://dx.doi.org/10.1016/S0895-9811(03)00017-8</v>
      </c>
      <c r="BG583" t="s">
        <v>74</v>
      </c>
      <c r="BH583" t="s">
        <v>74</v>
      </c>
      <c r="BI583">
        <v>18</v>
      </c>
      <c r="BJ583" t="s">
        <v>548</v>
      </c>
      <c r="BK583" t="s">
        <v>177</v>
      </c>
      <c r="BL583" t="s">
        <v>549</v>
      </c>
      <c r="BM583" t="s">
        <v>8451</v>
      </c>
      <c r="BN583" t="s">
        <v>74</v>
      </c>
      <c r="BO583" t="s">
        <v>74</v>
      </c>
      <c r="BP583" t="s">
        <v>74</v>
      </c>
      <c r="BQ583" t="s">
        <v>74</v>
      </c>
      <c r="BR583" t="s">
        <v>97</v>
      </c>
      <c r="BS583" t="s">
        <v>8477</v>
      </c>
      <c r="BT583" t="str">
        <f>HYPERLINK("https%3A%2F%2Fwww.webofscience.com%2Fwos%2Fwoscc%2Ffull-record%2FWOS:000184038600004","View Full Record in Web of Science")</f>
        <v>View Full Record in Web of Science</v>
      </c>
    </row>
    <row r="584" spans="1:72" x14ac:dyDescent="0.15">
      <c r="A584" t="s">
        <v>72</v>
      </c>
      <c r="B584" t="s">
        <v>8478</v>
      </c>
      <c r="C584" t="s">
        <v>74</v>
      </c>
      <c r="D584" t="s">
        <v>74</v>
      </c>
      <c r="E584" t="s">
        <v>74</v>
      </c>
      <c r="F584" t="s">
        <v>8478</v>
      </c>
      <c r="G584" t="s">
        <v>74</v>
      </c>
      <c r="H584" t="s">
        <v>74</v>
      </c>
      <c r="I584" t="s">
        <v>8479</v>
      </c>
      <c r="J584" t="s">
        <v>5264</v>
      </c>
      <c r="K584" t="s">
        <v>74</v>
      </c>
      <c r="L584" t="s">
        <v>74</v>
      </c>
      <c r="M584" t="s">
        <v>77</v>
      </c>
      <c r="N584" t="s">
        <v>78</v>
      </c>
      <c r="O584" t="s">
        <v>74</v>
      </c>
      <c r="P584" t="s">
        <v>74</v>
      </c>
      <c r="Q584" t="s">
        <v>74</v>
      </c>
      <c r="R584" t="s">
        <v>74</v>
      </c>
      <c r="S584" t="s">
        <v>74</v>
      </c>
      <c r="T584" t="s">
        <v>8480</v>
      </c>
      <c r="U584" t="s">
        <v>8481</v>
      </c>
      <c r="V584" t="s">
        <v>8482</v>
      </c>
      <c r="W584" t="s">
        <v>8483</v>
      </c>
      <c r="X584" t="s">
        <v>8484</v>
      </c>
      <c r="Y584" t="s">
        <v>8485</v>
      </c>
      <c r="Z584" t="s">
        <v>74</v>
      </c>
      <c r="AA584" t="s">
        <v>74</v>
      </c>
      <c r="AB584" t="s">
        <v>8486</v>
      </c>
      <c r="AC584" t="s">
        <v>74</v>
      </c>
      <c r="AD584" t="s">
        <v>74</v>
      </c>
      <c r="AE584" t="s">
        <v>74</v>
      </c>
      <c r="AF584" t="s">
        <v>74</v>
      </c>
      <c r="AG584">
        <v>52</v>
      </c>
      <c r="AH584">
        <v>28</v>
      </c>
      <c r="AI584">
        <v>30</v>
      </c>
      <c r="AJ584">
        <v>0</v>
      </c>
      <c r="AK584">
        <v>5</v>
      </c>
      <c r="AL584" t="s">
        <v>5274</v>
      </c>
      <c r="AM584" t="s">
        <v>5275</v>
      </c>
      <c r="AN584" t="s">
        <v>5276</v>
      </c>
      <c r="AO584" t="s">
        <v>5277</v>
      </c>
      <c r="AP584" t="s">
        <v>74</v>
      </c>
      <c r="AQ584" t="s">
        <v>74</v>
      </c>
      <c r="AR584" t="s">
        <v>5279</v>
      </c>
      <c r="AS584" t="s">
        <v>5280</v>
      </c>
      <c r="AT584" t="s">
        <v>7577</v>
      </c>
      <c r="AU584">
        <v>2003</v>
      </c>
      <c r="AV584">
        <v>160</v>
      </c>
      <c r="AW584" t="s">
        <v>74</v>
      </c>
      <c r="AX584">
        <v>3</v>
      </c>
      <c r="AY584" t="s">
        <v>74</v>
      </c>
      <c r="AZ584" t="s">
        <v>74</v>
      </c>
      <c r="BA584" t="s">
        <v>74</v>
      </c>
      <c r="BB584">
        <v>459</v>
      </c>
      <c r="BC584">
        <v>476</v>
      </c>
      <c r="BD584" t="s">
        <v>74</v>
      </c>
      <c r="BE584" t="s">
        <v>8487</v>
      </c>
      <c r="BF584" t="str">
        <f>HYPERLINK("http://dx.doi.org/10.1144/0016-764902-038","http://dx.doi.org/10.1144/0016-764902-038")</f>
        <v>http://dx.doi.org/10.1144/0016-764902-038</v>
      </c>
      <c r="BG584" t="s">
        <v>74</v>
      </c>
      <c r="BH584" t="s">
        <v>74</v>
      </c>
      <c r="BI584">
        <v>18</v>
      </c>
      <c r="BJ584" t="s">
        <v>548</v>
      </c>
      <c r="BK584" t="s">
        <v>94</v>
      </c>
      <c r="BL584" t="s">
        <v>549</v>
      </c>
      <c r="BM584" t="s">
        <v>8488</v>
      </c>
      <c r="BN584" t="s">
        <v>74</v>
      </c>
      <c r="BO584" t="s">
        <v>1767</v>
      </c>
      <c r="BP584" t="s">
        <v>74</v>
      </c>
      <c r="BQ584" t="s">
        <v>74</v>
      </c>
      <c r="BR584" t="s">
        <v>97</v>
      </c>
      <c r="BS584" t="s">
        <v>8489</v>
      </c>
      <c r="BT584" t="str">
        <f>HYPERLINK("https%3A%2F%2Fwww.webofscience.com%2Fwos%2Fwoscc%2Ffull-record%2FWOS:000182888400012","View Full Record in Web of Science")</f>
        <v>View Full Record in Web of Science</v>
      </c>
    </row>
    <row r="585" spans="1:72" x14ac:dyDescent="0.15">
      <c r="A585" t="s">
        <v>72</v>
      </c>
      <c r="B585" t="s">
        <v>8490</v>
      </c>
      <c r="C585" t="s">
        <v>74</v>
      </c>
      <c r="D585" t="s">
        <v>74</v>
      </c>
      <c r="E585" t="s">
        <v>74</v>
      </c>
      <c r="F585" t="s">
        <v>8490</v>
      </c>
      <c r="G585" t="s">
        <v>74</v>
      </c>
      <c r="H585" t="s">
        <v>74</v>
      </c>
      <c r="I585" t="s">
        <v>8491</v>
      </c>
      <c r="J585" t="s">
        <v>2123</v>
      </c>
      <c r="K585" t="s">
        <v>74</v>
      </c>
      <c r="L585" t="s">
        <v>74</v>
      </c>
      <c r="M585" t="s">
        <v>77</v>
      </c>
      <c r="N585" t="s">
        <v>78</v>
      </c>
      <c r="O585" t="s">
        <v>74</v>
      </c>
      <c r="P585" t="s">
        <v>74</v>
      </c>
      <c r="Q585" t="s">
        <v>74</v>
      </c>
      <c r="R585" t="s">
        <v>74</v>
      </c>
      <c r="S585" t="s">
        <v>74</v>
      </c>
      <c r="T585" t="s">
        <v>74</v>
      </c>
      <c r="U585" t="s">
        <v>8492</v>
      </c>
      <c r="V585" t="s">
        <v>8493</v>
      </c>
      <c r="W585" t="s">
        <v>8494</v>
      </c>
      <c r="X585" t="s">
        <v>8495</v>
      </c>
      <c r="Y585" t="s">
        <v>8496</v>
      </c>
      <c r="Z585" t="s">
        <v>74</v>
      </c>
      <c r="AA585" t="s">
        <v>8497</v>
      </c>
      <c r="AB585" t="s">
        <v>8498</v>
      </c>
      <c r="AC585" t="s">
        <v>74</v>
      </c>
      <c r="AD585" t="s">
        <v>74</v>
      </c>
      <c r="AE585" t="s">
        <v>74</v>
      </c>
      <c r="AF585" t="s">
        <v>74</v>
      </c>
      <c r="AG585">
        <v>69</v>
      </c>
      <c r="AH585">
        <v>82</v>
      </c>
      <c r="AI585">
        <v>90</v>
      </c>
      <c r="AJ585">
        <v>0</v>
      </c>
      <c r="AK585">
        <v>8</v>
      </c>
      <c r="AL585" t="s">
        <v>250</v>
      </c>
      <c r="AM585" t="s">
        <v>251</v>
      </c>
      <c r="AN585" t="s">
        <v>252</v>
      </c>
      <c r="AO585" t="s">
        <v>2132</v>
      </c>
      <c r="AP585" t="s">
        <v>2133</v>
      </c>
      <c r="AQ585" t="s">
        <v>74</v>
      </c>
      <c r="AR585" t="s">
        <v>2134</v>
      </c>
      <c r="AS585" t="s">
        <v>2135</v>
      </c>
      <c r="AT585" t="s">
        <v>7577</v>
      </c>
      <c r="AU585">
        <v>2003</v>
      </c>
      <c r="AV585">
        <v>48</v>
      </c>
      <c r="AW585">
        <v>3</v>
      </c>
      <c r="AX585" t="s">
        <v>74</v>
      </c>
      <c r="AY585" t="s">
        <v>74</v>
      </c>
      <c r="AZ585" t="s">
        <v>74</v>
      </c>
      <c r="BA585" t="s">
        <v>74</v>
      </c>
      <c r="BB585">
        <v>1018</v>
      </c>
      <c r="BC585">
        <v>1029</v>
      </c>
      <c r="BD585" t="s">
        <v>74</v>
      </c>
      <c r="BE585" t="s">
        <v>8499</v>
      </c>
      <c r="BF585" t="str">
        <f>HYPERLINK("http://dx.doi.org/10.4319/lo.2003.48.3.1018","http://dx.doi.org/10.4319/lo.2003.48.3.1018")</f>
        <v>http://dx.doi.org/10.4319/lo.2003.48.3.1018</v>
      </c>
      <c r="BG585" t="s">
        <v>74</v>
      </c>
      <c r="BH585" t="s">
        <v>74</v>
      </c>
      <c r="BI585">
        <v>12</v>
      </c>
      <c r="BJ585" t="s">
        <v>2137</v>
      </c>
      <c r="BK585" t="s">
        <v>94</v>
      </c>
      <c r="BL585" t="s">
        <v>194</v>
      </c>
      <c r="BM585" t="s">
        <v>8500</v>
      </c>
      <c r="BN585" t="s">
        <v>74</v>
      </c>
      <c r="BO585" t="s">
        <v>96</v>
      </c>
      <c r="BP585" t="s">
        <v>74</v>
      </c>
      <c r="BQ585" t="s">
        <v>74</v>
      </c>
      <c r="BR585" t="s">
        <v>97</v>
      </c>
      <c r="BS585" t="s">
        <v>8501</v>
      </c>
      <c r="BT585" t="str">
        <f>HYPERLINK("https%3A%2F%2Fwww.webofscience.com%2Fwos%2Fwoscc%2Ffull-record%2FWOS:000182982300007","View Full Record in Web of Science")</f>
        <v>View Full Record in Web of Science</v>
      </c>
    </row>
    <row r="586" spans="1:72" x14ac:dyDescent="0.15">
      <c r="A586" t="s">
        <v>72</v>
      </c>
      <c r="B586" t="s">
        <v>8502</v>
      </c>
      <c r="C586" t="s">
        <v>74</v>
      </c>
      <c r="D586" t="s">
        <v>74</v>
      </c>
      <c r="E586" t="s">
        <v>74</v>
      </c>
      <c r="F586" t="s">
        <v>8502</v>
      </c>
      <c r="G586" t="s">
        <v>74</v>
      </c>
      <c r="H586" t="s">
        <v>74</v>
      </c>
      <c r="I586" t="s">
        <v>8503</v>
      </c>
      <c r="J586" t="s">
        <v>2123</v>
      </c>
      <c r="K586" t="s">
        <v>74</v>
      </c>
      <c r="L586" t="s">
        <v>74</v>
      </c>
      <c r="M586" t="s">
        <v>77</v>
      </c>
      <c r="N586" t="s">
        <v>78</v>
      </c>
      <c r="O586" t="s">
        <v>74</v>
      </c>
      <c r="P586" t="s">
        <v>74</v>
      </c>
      <c r="Q586" t="s">
        <v>74</v>
      </c>
      <c r="R586" t="s">
        <v>74</v>
      </c>
      <c r="S586" t="s">
        <v>74</v>
      </c>
      <c r="T586" t="s">
        <v>74</v>
      </c>
      <c r="U586" t="s">
        <v>8504</v>
      </c>
      <c r="V586" t="s">
        <v>8505</v>
      </c>
      <c r="W586" t="s">
        <v>8506</v>
      </c>
      <c r="X586" t="s">
        <v>8507</v>
      </c>
      <c r="Y586" t="s">
        <v>8508</v>
      </c>
      <c r="Z586" t="s">
        <v>74</v>
      </c>
      <c r="AA586" t="s">
        <v>8509</v>
      </c>
      <c r="AB586" t="s">
        <v>3006</v>
      </c>
      <c r="AC586" t="s">
        <v>74</v>
      </c>
      <c r="AD586" t="s">
        <v>74</v>
      </c>
      <c r="AE586" t="s">
        <v>74</v>
      </c>
      <c r="AF586" t="s">
        <v>74</v>
      </c>
      <c r="AG586">
        <v>40</v>
      </c>
      <c r="AH586">
        <v>53</v>
      </c>
      <c r="AI586">
        <v>62</v>
      </c>
      <c r="AJ586">
        <v>0</v>
      </c>
      <c r="AK586">
        <v>22</v>
      </c>
      <c r="AL586" t="s">
        <v>250</v>
      </c>
      <c r="AM586" t="s">
        <v>251</v>
      </c>
      <c r="AN586" t="s">
        <v>252</v>
      </c>
      <c r="AO586" t="s">
        <v>2132</v>
      </c>
      <c r="AP586" t="s">
        <v>2133</v>
      </c>
      <c r="AQ586" t="s">
        <v>74</v>
      </c>
      <c r="AR586" t="s">
        <v>2134</v>
      </c>
      <c r="AS586" t="s">
        <v>2135</v>
      </c>
      <c r="AT586" t="s">
        <v>7577</v>
      </c>
      <c r="AU586">
        <v>2003</v>
      </c>
      <c r="AV586">
        <v>48</v>
      </c>
      <c r="AW586">
        <v>3</v>
      </c>
      <c r="AX586" t="s">
        <v>74</v>
      </c>
      <c r="AY586" t="s">
        <v>74</v>
      </c>
      <c r="AZ586" t="s">
        <v>74</v>
      </c>
      <c r="BA586" t="s">
        <v>74</v>
      </c>
      <c r="BB586">
        <v>1058</v>
      </c>
      <c r="BC586">
        <v>1068</v>
      </c>
      <c r="BD586" t="s">
        <v>74</v>
      </c>
      <c r="BE586" t="s">
        <v>8510</v>
      </c>
      <c r="BF586" t="str">
        <f>HYPERLINK("http://dx.doi.org/10.4319/lo.2003.48.3.1058","http://dx.doi.org/10.4319/lo.2003.48.3.1058")</f>
        <v>http://dx.doi.org/10.4319/lo.2003.48.3.1058</v>
      </c>
      <c r="BG586" t="s">
        <v>74</v>
      </c>
      <c r="BH586" t="s">
        <v>74</v>
      </c>
      <c r="BI586">
        <v>11</v>
      </c>
      <c r="BJ586" t="s">
        <v>2137</v>
      </c>
      <c r="BK586" t="s">
        <v>94</v>
      </c>
      <c r="BL586" t="s">
        <v>194</v>
      </c>
      <c r="BM586" t="s">
        <v>8500</v>
      </c>
      <c r="BN586" t="s">
        <v>74</v>
      </c>
      <c r="BO586" t="s">
        <v>96</v>
      </c>
      <c r="BP586" t="s">
        <v>74</v>
      </c>
      <c r="BQ586" t="s">
        <v>74</v>
      </c>
      <c r="BR586" t="s">
        <v>97</v>
      </c>
      <c r="BS586" t="s">
        <v>8511</v>
      </c>
      <c r="BT586" t="str">
        <f>HYPERLINK("https%3A%2F%2Fwww.webofscience.com%2Fwos%2Fwoscc%2Ffull-record%2FWOS:000182982300011","View Full Record in Web of Science")</f>
        <v>View Full Record in Web of Science</v>
      </c>
    </row>
    <row r="587" spans="1:72" x14ac:dyDescent="0.15">
      <c r="A587" t="s">
        <v>72</v>
      </c>
      <c r="B587" t="s">
        <v>8512</v>
      </c>
      <c r="C587" t="s">
        <v>74</v>
      </c>
      <c r="D587" t="s">
        <v>74</v>
      </c>
      <c r="E587" t="s">
        <v>74</v>
      </c>
      <c r="F587" t="s">
        <v>8512</v>
      </c>
      <c r="G587" t="s">
        <v>74</v>
      </c>
      <c r="H587" t="s">
        <v>74</v>
      </c>
      <c r="I587" t="s">
        <v>8513</v>
      </c>
      <c r="J587" t="s">
        <v>2123</v>
      </c>
      <c r="K587" t="s">
        <v>74</v>
      </c>
      <c r="L587" t="s">
        <v>74</v>
      </c>
      <c r="M587" t="s">
        <v>77</v>
      </c>
      <c r="N587" t="s">
        <v>78</v>
      </c>
      <c r="O587" t="s">
        <v>74</v>
      </c>
      <c r="P587" t="s">
        <v>74</v>
      </c>
      <c r="Q587" t="s">
        <v>74</v>
      </c>
      <c r="R587" t="s">
        <v>74</v>
      </c>
      <c r="S587" t="s">
        <v>74</v>
      </c>
      <c r="T587" t="s">
        <v>74</v>
      </c>
      <c r="U587" t="s">
        <v>8514</v>
      </c>
      <c r="V587" t="s">
        <v>8515</v>
      </c>
      <c r="W587" t="s">
        <v>8516</v>
      </c>
      <c r="X587" t="s">
        <v>8517</v>
      </c>
      <c r="Y587" t="s">
        <v>8518</v>
      </c>
      <c r="Z587" t="s">
        <v>74</v>
      </c>
      <c r="AA587" t="s">
        <v>8519</v>
      </c>
      <c r="AB587" t="s">
        <v>8520</v>
      </c>
      <c r="AC587" t="s">
        <v>74</v>
      </c>
      <c r="AD587" t="s">
        <v>74</v>
      </c>
      <c r="AE587" t="s">
        <v>74</v>
      </c>
      <c r="AF587" t="s">
        <v>74</v>
      </c>
      <c r="AG587">
        <v>46</v>
      </c>
      <c r="AH587">
        <v>99</v>
      </c>
      <c r="AI587">
        <v>107</v>
      </c>
      <c r="AJ587">
        <v>2</v>
      </c>
      <c r="AK587">
        <v>50</v>
      </c>
      <c r="AL587" t="s">
        <v>2150</v>
      </c>
      <c r="AM587" t="s">
        <v>2151</v>
      </c>
      <c r="AN587" t="s">
        <v>2152</v>
      </c>
      <c r="AO587" t="s">
        <v>2132</v>
      </c>
      <c r="AP587" t="s">
        <v>74</v>
      </c>
      <c r="AQ587" t="s">
        <v>74</v>
      </c>
      <c r="AR587" t="s">
        <v>2134</v>
      </c>
      <c r="AS587" t="s">
        <v>2135</v>
      </c>
      <c r="AT587" t="s">
        <v>7577</v>
      </c>
      <c r="AU587">
        <v>2003</v>
      </c>
      <c r="AV587">
        <v>48</v>
      </c>
      <c r="AW587">
        <v>3</v>
      </c>
      <c r="AX587" t="s">
        <v>74</v>
      </c>
      <c r="AY587" t="s">
        <v>74</v>
      </c>
      <c r="AZ587" t="s">
        <v>74</v>
      </c>
      <c r="BA587" t="s">
        <v>74</v>
      </c>
      <c r="BB587">
        <v>1079</v>
      </c>
      <c r="BC587">
        <v>1087</v>
      </c>
      <c r="BD587" t="s">
        <v>74</v>
      </c>
      <c r="BE587" t="s">
        <v>8521</v>
      </c>
      <c r="BF587" t="str">
        <f>HYPERLINK("http://dx.doi.org/10.4319/lo.2003.48.3.1079","http://dx.doi.org/10.4319/lo.2003.48.3.1079")</f>
        <v>http://dx.doi.org/10.4319/lo.2003.48.3.1079</v>
      </c>
      <c r="BG587" t="s">
        <v>74</v>
      </c>
      <c r="BH587" t="s">
        <v>74</v>
      </c>
      <c r="BI587">
        <v>9</v>
      </c>
      <c r="BJ587" t="s">
        <v>2137</v>
      </c>
      <c r="BK587" t="s">
        <v>94</v>
      </c>
      <c r="BL587" t="s">
        <v>194</v>
      </c>
      <c r="BM587" t="s">
        <v>8500</v>
      </c>
      <c r="BN587" t="s">
        <v>74</v>
      </c>
      <c r="BO587" t="s">
        <v>96</v>
      </c>
      <c r="BP587" t="s">
        <v>74</v>
      </c>
      <c r="BQ587" t="s">
        <v>74</v>
      </c>
      <c r="BR587" t="s">
        <v>97</v>
      </c>
      <c r="BS587" t="s">
        <v>8522</v>
      </c>
      <c r="BT587" t="str">
        <f>HYPERLINK("https%3A%2F%2Fwww.webofscience.com%2Fwos%2Fwoscc%2Ffull-record%2FWOS:000182982300013","View Full Record in Web of Science")</f>
        <v>View Full Record in Web of Science</v>
      </c>
    </row>
    <row r="588" spans="1:72" x14ac:dyDescent="0.15">
      <c r="A588" t="s">
        <v>72</v>
      </c>
      <c r="B588" t="s">
        <v>8523</v>
      </c>
      <c r="C588" t="s">
        <v>74</v>
      </c>
      <c r="D588" t="s">
        <v>74</v>
      </c>
      <c r="E588" t="s">
        <v>74</v>
      </c>
      <c r="F588" t="s">
        <v>8523</v>
      </c>
      <c r="G588" t="s">
        <v>74</v>
      </c>
      <c r="H588" t="s">
        <v>74</v>
      </c>
      <c r="I588" t="s">
        <v>8524</v>
      </c>
      <c r="J588" t="s">
        <v>2123</v>
      </c>
      <c r="K588" t="s">
        <v>74</v>
      </c>
      <c r="L588" t="s">
        <v>74</v>
      </c>
      <c r="M588" t="s">
        <v>77</v>
      </c>
      <c r="N588" t="s">
        <v>78</v>
      </c>
      <c r="O588" t="s">
        <v>74</v>
      </c>
      <c r="P588" t="s">
        <v>74</v>
      </c>
      <c r="Q588" t="s">
        <v>74</v>
      </c>
      <c r="R588" t="s">
        <v>74</v>
      </c>
      <c r="S588" t="s">
        <v>74</v>
      </c>
      <c r="T588" t="s">
        <v>74</v>
      </c>
      <c r="U588" t="s">
        <v>8525</v>
      </c>
      <c r="V588" t="s">
        <v>8526</v>
      </c>
      <c r="W588" t="s">
        <v>8527</v>
      </c>
      <c r="X588" t="s">
        <v>8528</v>
      </c>
      <c r="Y588" t="s">
        <v>8529</v>
      </c>
      <c r="Z588" t="s">
        <v>74</v>
      </c>
      <c r="AA588" t="s">
        <v>74</v>
      </c>
      <c r="AB588" t="s">
        <v>74</v>
      </c>
      <c r="AC588" t="s">
        <v>74</v>
      </c>
      <c r="AD588" t="s">
        <v>74</v>
      </c>
      <c r="AE588" t="s">
        <v>74</v>
      </c>
      <c r="AF588" t="s">
        <v>74</v>
      </c>
      <c r="AG588">
        <v>41</v>
      </c>
      <c r="AH588">
        <v>35</v>
      </c>
      <c r="AI588">
        <v>40</v>
      </c>
      <c r="AJ588">
        <v>0</v>
      </c>
      <c r="AK588">
        <v>7</v>
      </c>
      <c r="AL588" t="s">
        <v>2150</v>
      </c>
      <c r="AM588" t="s">
        <v>2151</v>
      </c>
      <c r="AN588" t="s">
        <v>2152</v>
      </c>
      <c r="AO588" t="s">
        <v>2132</v>
      </c>
      <c r="AP588" t="s">
        <v>74</v>
      </c>
      <c r="AQ588" t="s">
        <v>74</v>
      </c>
      <c r="AR588" t="s">
        <v>2134</v>
      </c>
      <c r="AS588" t="s">
        <v>2135</v>
      </c>
      <c r="AT588" t="s">
        <v>7577</v>
      </c>
      <c r="AU588">
        <v>2003</v>
      </c>
      <c r="AV588">
        <v>48</v>
      </c>
      <c r="AW588">
        <v>3</v>
      </c>
      <c r="AX588" t="s">
        <v>74</v>
      </c>
      <c r="AY588" t="s">
        <v>74</v>
      </c>
      <c r="AZ588" t="s">
        <v>74</v>
      </c>
      <c r="BA588" t="s">
        <v>74</v>
      </c>
      <c r="BB588">
        <v>1223</v>
      </c>
      <c r="BC588">
        <v>1234</v>
      </c>
      <c r="BD588" t="s">
        <v>74</v>
      </c>
      <c r="BE588" t="s">
        <v>8530</v>
      </c>
      <c r="BF588" t="str">
        <f>HYPERLINK("http://dx.doi.org/10.4319/lo.2003.48.3.1223","http://dx.doi.org/10.4319/lo.2003.48.3.1223")</f>
        <v>http://dx.doi.org/10.4319/lo.2003.48.3.1223</v>
      </c>
      <c r="BG588" t="s">
        <v>74</v>
      </c>
      <c r="BH588" t="s">
        <v>74</v>
      </c>
      <c r="BI588">
        <v>12</v>
      </c>
      <c r="BJ588" t="s">
        <v>2137</v>
      </c>
      <c r="BK588" t="s">
        <v>94</v>
      </c>
      <c r="BL588" t="s">
        <v>194</v>
      </c>
      <c r="BM588" t="s">
        <v>8500</v>
      </c>
      <c r="BN588" t="s">
        <v>74</v>
      </c>
      <c r="BO588" t="s">
        <v>96</v>
      </c>
      <c r="BP588" t="s">
        <v>74</v>
      </c>
      <c r="BQ588" t="s">
        <v>74</v>
      </c>
      <c r="BR588" t="s">
        <v>97</v>
      </c>
      <c r="BS588" t="s">
        <v>8531</v>
      </c>
      <c r="BT588" t="str">
        <f>HYPERLINK("https%3A%2F%2Fwww.webofscience.com%2Fwos%2Fwoscc%2Ffull-record%2FWOS:000182982300028","View Full Record in Web of Science")</f>
        <v>View Full Record in Web of Science</v>
      </c>
    </row>
    <row r="589" spans="1:72" x14ac:dyDescent="0.15">
      <c r="A589" t="s">
        <v>72</v>
      </c>
      <c r="B589" t="s">
        <v>8532</v>
      </c>
      <c r="C589" t="s">
        <v>74</v>
      </c>
      <c r="D589" t="s">
        <v>74</v>
      </c>
      <c r="E589" t="s">
        <v>74</v>
      </c>
      <c r="F589" t="s">
        <v>8532</v>
      </c>
      <c r="G589" t="s">
        <v>74</v>
      </c>
      <c r="H589" t="s">
        <v>74</v>
      </c>
      <c r="I589" t="s">
        <v>8533</v>
      </c>
      <c r="J589" t="s">
        <v>2177</v>
      </c>
      <c r="K589" t="s">
        <v>74</v>
      </c>
      <c r="L589" t="s">
        <v>74</v>
      </c>
      <c r="M589" t="s">
        <v>77</v>
      </c>
      <c r="N589" t="s">
        <v>78</v>
      </c>
      <c r="O589" t="s">
        <v>74</v>
      </c>
      <c r="P589" t="s">
        <v>74</v>
      </c>
      <c r="Q589" t="s">
        <v>74</v>
      </c>
      <c r="R589" t="s">
        <v>74</v>
      </c>
      <c r="S589" t="s">
        <v>74</v>
      </c>
      <c r="T589" t="s">
        <v>74</v>
      </c>
      <c r="U589" t="s">
        <v>8534</v>
      </c>
      <c r="V589" t="s">
        <v>8535</v>
      </c>
      <c r="W589" t="s">
        <v>8536</v>
      </c>
      <c r="X589" t="s">
        <v>3733</v>
      </c>
      <c r="Y589" t="s">
        <v>8537</v>
      </c>
      <c r="Z589" t="s">
        <v>8538</v>
      </c>
      <c r="AA589" t="s">
        <v>226</v>
      </c>
      <c r="AB589" t="s">
        <v>74</v>
      </c>
      <c r="AC589" t="s">
        <v>74</v>
      </c>
      <c r="AD589" t="s">
        <v>74</v>
      </c>
      <c r="AE589" t="s">
        <v>74</v>
      </c>
      <c r="AF589" t="s">
        <v>74</v>
      </c>
      <c r="AG589">
        <v>49</v>
      </c>
      <c r="AH589">
        <v>105</v>
      </c>
      <c r="AI589">
        <v>127</v>
      </c>
      <c r="AJ589">
        <v>0</v>
      </c>
      <c r="AK589">
        <v>18</v>
      </c>
      <c r="AL589" t="s">
        <v>2185</v>
      </c>
      <c r="AM589" t="s">
        <v>2186</v>
      </c>
      <c r="AN589" t="s">
        <v>2187</v>
      </c>
      <c r="AO589" t="s">
        <v>2188</v>
      </c>
      <c r="AP589" t="s">
        <v>2189</v>
      </c>
      <c r="AQ589" t="s">
        <v>74</v>
      </c>
      <c r="AR589" t="s">
        <v>2190</v>
      </c>
      <c r="AS589" t="s">
        <v>2191</v>
      </c>
      <c r="AT589" t="s">
        <v>7577</v>
      </c>
      <c r="AU589">
        <v>2003</v>
      </c>
      <c r="AV589">
        <v>142</v>
      </c>
      <c r="AW589">
        <v>5</v>
      </c>
      <c r="AX589" t="s">
        <v>74</v>
      </c>
      <c r="AY589" t="s">
        <v>74</v>
      </c>
      <c r="AZ589" t="s">
        <v>74</v>
      </c>
      <c r="BA589" t="s">
        <v>74</v>
      </c>
      <c r="BB589">
        <v>925</v>
      </c>
      <c r="BC589">
        <v>935</v>
      </c>
      <c r="BD589" t="s">
        <v>74</v>
      </c>
      <c r="BE589" t="s">
        <v>8539</v>
      </c>
      <c r="BF589" t="str">
        <f>HYPERLINK("http://dx.doi.org/10.1007/s00227-002-1005-4","http://dx.doi.org/10.1007/s00227-002-1005-4")</f>
        <v>http://dx.doi.org/10.1007/s00227-002-1005-4</v>
      </c>
      <c r="BG589" t="s">
        <v>74</v>
      </c>
      <c r="BH589" t="s">
        <v>74</v>
      </c>
      <c r="BI589">
        <v>11</v>
      </c>
      <c r="BJ589" t="s">
        <v>235</v>
      </c>
      <c r="BK589" t="s">
        <v>94</v>
      </c>
      <c r="BL589" t="s">
        <v>235</v>
      </c>
      <c r="BM589" t="s">
        <v>8540</v>
      </c>
      <c r="BN589" t="s">
        <v>74</v>
      </c>
      <c r="BO589" t="s">
        <v>74</v>
      </c>
      <c r="BP589" t="s">
        <v>74</v>
      </c>
      <c r="BQ589" t="s">
        <v>74</v>
      </c>
      <c r="BR589" t="s">
        <v>97</v>
      </c>
      <c r="BS589" t="s">
        <v>8541</v>
      </c>
      <c r="BT589" t="str">
        <f>HYPERLINK("https%3A%2F%2Fwww.webofscience.com%2Fwos%2Fwoscc%2Ffull-record%2FWOS:000183724000010","View Full Record in Web of Science")</f>
        <v>View Full Record in Web of Science</v>
      </c>
    </row>
    <row r="590" spans="1:72" x14ac:dyDescent="0.15">
      <c r="A590" t="s">
        <v>72</v>
      </c>
      <c r="B590" t="s">
        <v>8542</v>
      </c>
      <c r="C590" t="s">
        <v>74</v>
      </c>
      <c r="D590" t="s">
        <v>74</v>
      </c>
      <c r="E590" t="s">
        <v>74</v>
      </c>
      <c r="F590" t="s">
        <v>8542</v>
      </c>
      <c r="G590" t="s">
        <v>74</v>
      </c>
      <c r="H590" t="s">
        <v>74</v>
      </c>
      <c r="I590" t="s">
        <v>8543</v>
      </c>
      <c r="J590" t="s">
        <v>8544</v>
      </c>
      <c r="K590" t="s">
        <v>74</v>
      </c>
      <c r="L590" t="s">
        <v>74</v>
      </c>
      <c r="M590" t="s">
        <v>77</v>
      </c>
      <c r="N590" t="s">
        <v>78</v>
      </c>
      <c r="O590" t="s">
        <v>74</v>
      </c>
      <c r="P590" t="s">
        <v>74</v>
      </c>
      <c r="Q590" t="s">
        <v>74</v>
      </c>
      <c r="R590" t="s">
        <v>74</v>
      </c>
      <c r="S590" t="s">
        <v>74</v>
      </c>
      <c r="T590" t="s">
        <v>8545</v>
      </c>
      <c r="U590" t="s">
        <v>8546</v>
      </c>
      <c r="V590" t="s">
        <v>8547</v>
      </c>
      <c r="W590" t="s">
        <v>8548</v>
      </c>
      <c r="X590" t="s">
        <v>8549</v>
      </c>
      <c r="Y590" t="s">
        <v>8550</v>
      </c>
      <c r="Z590" t="s">
        <v>8551</v>
      </c>
      <c r="AA590" t="s">
        <v>8552</v>
      </c>
      <c r="AB590" t="s">
        <v>8553</v>
      </c>
      <c r="AC590" t="s">
        <v>74</v>
      </c>
      <c r="AD590" t="s">
        <v>74</v>
      </c>
      <c r="AE590" t="s">
        <v>74</v>
      </c>
      <c r="AF590" t="s">
        <v>74</v>
      </c>
      <c r="AG590">
        <v>56</v>
      </c>
      <c r="AH590">
        <v>10</v>
      </c>
      <c r="AI590">
        <v>11</v>
      </c>
      <c r="AJ590">
        <v>0</v>
      </c>
      <c r="AK590">
        <v>10</v>
      </c>
      <c r="AL590" t="s">
        <v>566</v>
      </c>
      <c r="AM590" t="s">
        <v>170</v>
      </c>
      <c r="AN590" t="s">
        <v>567</v>
      </c>
      <c r="AO590" t="s">
        <v>8554</v>
      </c>
      <c r="AP590" t="s">
        <v>74</v>
      </c>
      <c r="AQ590" t="s">
        <v>74</v>
      </c>
      <c r="AR590" t="s">
        <v>8555</v>
      </c>
      <c r="AS590" t="s">
        <v>8556</v>
      </c>
      <c r="AT590" t="s">
        <v>7577</v>
      </c>
      <c r="AU590">
        <v>2003</v>
      </c>
      <c r="AV590">
        <v>55</v>
      </c>
      <c r="AW590">
        <v>4</v>
      </c>
      <c r="AX590" t="s">
        <v>74</v>
      </c>
      <c r="AY590" t="s">
        <v>74</v>
      </c>
      <c r="AZ590" t="s">
        <v>74</v>
      </c>
      <c r="BA590" t="s">
        <v>74</v>
      </c>
      <c r="BB590">
        <v>335</v>
      </c>
      <c r="BC590">
        <v>357</v>
      </c>
      <c r="BD590" t="s">
        <v>8557</v>
      </c>
      <c r="BE590" t="s">
        <v>8558</v>
      </c>
      <c r="BF590" t="str">
        <f>HYPERLINK("http://dx.doi.org/10.1016/S0141-1136(02)00277-5","http://dx.doi.org/10.1016/S0141-1136(02)00277-5")</f>
        <v>http://dx.doi.org/10.1016/S0141-1136(02)00277-5</v>
      </c>
      <c r="BG590" t="s">
        <v>74</v>
      </c>
      <c r="BH590" t="s">
        <v>74</v>
      </c>
      <c r="BI590">
        <v>23</v>
      </c>
      <c r="BJ590" t="s">
        <v>8559</v>
      </c>
      <c r="BK590" t="s">
        <v>94</v>
      </c>
      <c r="BL590" t="s">
        <v>8560</v>
      </c>
      <c r="BM590" t="s">
        <v>8561</v>
      </c>
      <c r="BN590">
        <v>12517424</v>
      </c>
      <c r="BO590" t="s">
        <v>74</v>
      </c>
      <c r="BP590" t="s">
        <v>74</v>
      </c>
      <c r="BQ590" t="s">
        <v>74</v>
      </c>
      <c r="BR590" t="s">
        <v>97</v>
      </c>
      <c r="BS590" t="s">
        <v>8562</v>
      </c>
      <c r="BT590" t="str">
        <f>HYPERLINK("https%3A%2F%2Fwww.webofscience.com%2Fwos%2Fwoscc%2Ffull-record%2FWOS:000181512300004","View Full Record in Web of Science")</f>
        <v>View Full Record in Web of Science</v>
      </c>
    </row>
    <row r="591" spans="1:72" x14ac:dyDescent="0.15">
      <c r="A591" t="s">
        <v>72</v>
      </c>
      <c r="B591" t="s">
        <v>7951</v>
      </c>
      <c r="C591" t="s">
        <v>74</v>
      </c>
      <c r="D591" t="s">
        <v>74</v>
      </c>
      <c r="E591" t="s">
        <v>74</v>
      </c>
      <c r="F591" t="s">
        <v>7951</v>
      </c>
      <c r="G591" t="s">
        <v>74</v>
      </c>
      <c r="H591" t="s">
        <v>74</v>
      </c>
      <c r="I591" t="s">
        <v>8563</v>
      </c>
      <c r="J591" t="s">
        <v>8544</v>
      </c>
      <c r="K591" t="s">
        <v>74</v>
      </c>
      <c r="L591" t="s">
        <v>74</v>
      </c>
      <c r="M591" t="s">
        <v>77</v>
      </c>
      <c r="N591" t="s">
        <v>78</v>
      </c>
      <c r="O591" t="s">
        <v>74</v>
      </c>
      <c r="P591" t="s">
        <v>74</v>
      </c>
      <c r="Q591" t="s">
        <v>74</v>
      </c>
      <c r="R591" t="s">
        <v>74</v>
      </c>
      <c r="S591" t="s">
        <v>74</v>
      </c>
      <c r="T591" t="s">
        <v>8564</v>
      </c>
      <c r="U591" t="s">
        <v>8565</v>
      </c>
      <c r="V591" t="s">
        <v>8566</v>
      </c>
      <c r="W591" t="s">
        <v>8567</v>
      </c>
      <c r="X591" t="s">
        <v>7957</v>
      </c>
      <c r="Y591" t="s">
        <v>8568</v>
      </c>
      <c r="Z591" t="s">
        <v>8569</v>
      </c>
      <c r="AA591" t="s">
        <v>74</v>
      </c>
      <c r="AB591" t="s">
        <v>74</v>
      </c>
      <c r="AC591" t="s">
        <v>74</v>
      </c>
      <c r="AD591" t="s">
        <v>74</v>
      </c>
      <c r="AE591" t="s">
        <v>74</v>
      </c>
      <c r="AF591" t="s">
        <v>74</v>
      </c>
      <c r="AG591">
        <v>64</v>
      </c>
      <c r="AH591">
        <v>17</v>
      </c>
      <c r="AI591">
        <v>21</v>
      </c>
      <c r="AJ591">
        <v>0</v>
      </c>
      <c r="AK591">
        <v>19</v>
      </c>
      <c r="AL591" t="s">
        <v>566</v>
      </c>
      <c r="AM591" t="s">
        <v>170</v>
      </c>
      <c r="AN591" t="s">
        <v>567</v>
      </c>
      <c r="AO591" t="s">
        <v>8554</v>
      </c>
      <c r="AP591" t="s">
        <v>8570</v>
      </c>
      <c r="AQ591" t="s">
        <v>74</v>
      </c>
      <c r="AR591" t="s">
        <v>8555</v>
      </c>
      <c r="AS591" t="s">
        <v>8556</v>
      </c>
      <c r="AT591" t="s">
        <v>7577</v>
      </c>
      <c r="AU591">
        <v>2003</v>
      </c>
      <c r="AV591">
        <v>55</v>
      </c>
      <c r="AW591">
        <v>5</v>
      </c>
      <c r="AX591" t="s">
        <v>74</v>
      </c>
      <c r="AY591" t="s">
        <v>74</v>
      </c>
      <c r="AZ591" t="s">
        <v>74</v>
      </c>
      <c r="BA591" t="s">
        <v>74</v>
      </c>
      <c r="BB591">
        <v>359</v>
      </c>
      <c r="BC591">
        <v>384</v>
      </c>
      <c r="BD591" t="s">
        <v>8571</v>
      </c>
      <c r="BE591" t="s">
        <v>8572</v>
      </c>
      <c r="BF591" t="str">
        <f>HYPERLINK("http://dx.doi.org/10.1016/S0141-1136(02)00288-X","http://dx.doi.org/10.1016/S0141-1136(02)00288-X")</f>
        <v>http://dx.doi.org/10.1016/S0141-1136(02)00288-X</v>
      </c>
      <c r="BG591" t="s">
        <v>74</v>
      </c>
      <c r="BH591" t="s">
        <v>74</v>
      </c>
      <c r="BI591">
        <v>26</v>
      </c>
      <c r="BJ591" t="s">
        <v>8559</v>
      </c>
      <c r="BK591" t="s">
        <v>94</v>
      </c>
      <c r="BL591" t="s">
        <v>8560</v>
      </c>
      <c r="BM591" t="s">
        <v>8573</v>
      </c>
      <c r="BN591">
        <v>12628192</v>
      </c>
      <c r="BO591" t="s">
        <v>74</v>
      </c>
      <c r="BP591" t="s">
        <v>74</v>
      </c>
      <c r="BQ591" t="s">
        <v>74</v>
      </c>
      <c r="BR591" t="s">
        <v>97</v>
      </c>
      <c r="BS591" t="s">
        <v>8574</v>
      </c>
      <c r="BT591" t="str">
        <f>HYPERLINK("https%3A%2F%2Fwww.webofscience.com%2Fwos%2Fwoscc%2Ffull-record%2FWOS:000181740300001","View Full Record in Web of Science")</f>
        <v>View Full Record in Web of Science</v>
      </c>
    </row>
    <row r="592" spans="1:72" x14ac:dyDescent="0.15">
      <c r="A592" t="s">
        <v>72</v>
      </c>
      <c r="B592" t="s">
        <v>8575</v>
      </c>
      <c r="C592" t="s">
        <v>74</v>
      </c>
      <c r="D592" t="s">
        <v>74</v>
      </c>
      <c r="E592" t="s">
        <v>74</v>
      </c>
      <c r="F592" t="s">
        <v>8575</v>
      </c>
      <c r="G592" t="s">
        <v>74</v>
      </c>
      <c r="H592" t="s">
        <v>74</v>
      </c>
      <c r="I592" t="s">
        <v>8576</v>
      </c>
      <c r="J592" t="s">
        <v>2206</v>
      </c>
      <c r="K592" t="s">
        <v>74</v>
      </c>
      <c r="L592" t="s">
        <v>74</v>
      </c>
      <c r="M592" t="s">
        <v>77</v>
      </c>
      <c r="N592" t="s">
        <v>78</v>
      </c>
      <c r="O592" t="s">
        <v>74</v>
      </c>
      <c r="P592" t="s">
        <v>74</v>
      </c>
      <c r="Q592" t="s">
        <v>74</v>
      </c>
      <c r="R592" t="s">
        <v>74</v>
      </c>
      <c r="S592" t="s">
        <v>74</v>
      </c>
      <c r="T592" t="s">
        <v>8577</v>
      </c>
      <c r="U592" t="s">
        <v>8578</v>
      </c>
      <c r="V592" t="s">
        <v>8579</v>
      </c>
      <c r="W592" t="s">
        <v>8580</v>
      </c>
      <c r="X592" t="s">
        <v>5334</v>
      </c>
      <c r="Y592" t="s">
        <v>8581</v>
      </c>
      <c r="Z592" t="s">
        <v>8582</v>
      </c>
      <c r="AA592" t="s">
        <v>8583</v>
      </c>
      <c r="AB592" t="s">
        <v>8584</v>
      </c>
      <c r="AC592" t="s">
        <v>74</v>
      </c>
      <c r="AD592" t="s">
        <v>74</v>
      </c>
      <c r="AE592" t="s">
        <v>74</v>
      </c>
      <c r="AF592" t="s">
        <v>74</v>
      </c>
      <c r="AG592">
        <v>47</v>
      </c>
      <c r="AH592">
        <v>53</v>
      </c>
      <c r="AI592">
        <v>71</v>
      </c>
      <c r="AJ592">
        <v>1</v>
      </c>
      <c r="AK592">
        <v>14</v>
      </c>
      <c r="AL592" t="s">
        <v>781</v>
      </c>
      <c r="AM592" t="s">
        <v>111</v>
      </c>
      <c r="AN592" t="s">
        <v>782</v>
      </c>
      <c r="AO592" t="s">
        <v>2215</v>
      </c>
      <c r="AP592" t="s">
        <v>8585</v>
      </c>
      <c r="AQ592" t="s">
        <v>74</v>
      </c>
      <c r="AR592" t="s">
        <v>2216</v>
      </c>
      <c r="AS592" t="s">
        <v>2217</v>
      </c>
      <c r="AT592" t="s">
        <v>7577</v>
      </c>
      <c r="AU592">
        <v>2003</v>
      </c>
      <c r="AV592">
        <v>48</v>
      </c>
      <c r="AW592" t="s">
        <v>787</v>
      </c>
      <c r="AX592" t="s">
        <v>74</v>
      </c>
      <c r="AY592" t="s">
        <v>74</v>
      </c>
      <c r="AZ592" t="s">
        <v>74</v>
      </c>
      <c r="BA592" t="s">
        <v>74</v>
      </c>
      <c r="BB592">
        <v>71</v>
      </c>
      <c r="BC592">
        <v>90</v>
      </c>
      <c r="BD592" t="s">
        <v>8586</v>
      </c>
      <c r="BE592" t="s">
        <v>8587</v>
      </c>
      <c r="BF592" t="str">
        <f>HYPERLINK("http://dx.doi.org/10.1016/S0377-8398(02)00161-5","http://dx.doi.org/10.1016/S0377-8398(02)00161-5")</f>
        <v>http://dx.doi.org/10.1016/S0377-8398(02)00161-5</v>
      </c>
      <c r="BG592" t="s">
        <v>74</v>
      </c>
      <c r="BH592" t="s">
        <v>74</v>
      </c>
      <c r="BI592">
        <v>20</v>
      </c>
      <c r="BJ592" t="s">
        <v>2219</v>
      </c>
      <c r="BK592" t="s">
        <v>94</v>
      </c>
      <c r="BL592" t="s">
        <v>2219</v>
      </c>
      <c r="BM592" t="s">
        <v>8588</v>
      </c>
      <c r="BN592" t="s">
        <v>74</v>
      </c>
      <c r="BO592" t="s">
        <v>74</v>
      </c>
      <c r="BP592" t="s">
        <v>74</v>
      </c>
      <c r="BQ592" t="s">
        <v>74</v>
      </c>
      <c r="BR592" t="s">
        <v>97</v>
      </c>
      <c r="BS592" t="s">
        <v>8589</v>
      </c>
      <c r="BT592" t="str">
        <f>HYPERLINK("https%3A%2F%2Fwww.webofscience.com%2Fwos%2Fwoscc%2Ffull-record%2FWOS:000182967100004","View Full Record in Web of Science")</f>
        <v>View Full Record in Web of Science</v>
      </c>
    </row>
    <row r="593" spans="1:72" x14ac:dyDescent="0.15">
      <c r="A593" t="s">
        <v>72</v>
      </c>
      <c r="B593" t="s">
        <v>8590</v>
      </c>
      <c r="C593" t="s">
        <v>74</v>
      </c>
      <c r="D593" t="s">
        <v>74</v>
      </c>
      <c r="E593" t="s">
        <v>74</v>
      </c>
      <c r="F593" t="s">
        <v>8590</v>
      </c>
      <c r="G593" t="s">
        <v>74</v>
      </c>
      <c r="H593" t="s">
        <v>74</v>
      </c>
      <c r="I593" t="s">
        <v>8591</v>
      </c>
      <c r="J593" t="s">
        <v>2243</v>
      </c>
      <c r="K593" t="s">
        <v>74</v>
      </c>
      <c r="L593" t="s">
        <v>74</v>
      </c>
      <c r="M593" t="s">
        <v>77</v>
      </c>
      <c r="N593" t="s">
        <v>78</v>
      </c>
      <c r="O593" t="s">
        <v>74</v>
      </c>
      <c r="P593" t="s">
        <v>74</v>
      </c>
      <c r="Q593" t="s">
        <v>74</v>
      </c>
      <c r="R593" t="s">
        <v>74</v>
      </c>
      <c r="S593" t="s">
        <v>74</v>
      </c>
      <c r="T593" t="s">
        <v>74</v>
      </c>
      <c r="U593" t="s">
        <v>8592</v>
      </c>
      <c r="V593" t="s">
        <v>8593</v>
      </c>
      <c r="W593" t="s">
        <v>8594</v>
      </c>
      <c r="X593" t="s">
        <v>8595</v>
      </c>
      <c r="Y593" t="s">
        <v>8596</v>
      </c>
      <c r="Z593" t="s">
        <v>74</v>
      </c>
      <c r="AA593" t="s">
        <v>74</v>
      </c>
      <c r="AB593" t="s">
        <v>8597</v>
      </c>
      <c r="AC593" t="s">
        <v>74</v>
      </c>
      <c r="AD593" t="s">
        <v>74</v>
      </c>
      <c r="AE593" t="s">
        <v>74</v>
      </c>
      <c r="AF593" t="s">
        <v>74</v>
      </c>
      <c r="AG593">
        <v>40</v>
      </c>
      <c r="AH593">
        <v>6</v>
      </c>
      <c r="AI593">
        <v>9</v>
      </c>
      <c r="AJ593">
        <v>0</v>
      </c>
      <c r="AK593">
        <v>1</v>
      </c>
      <c r="AL593" t="s">
        <v>2250</v>
      </c>
      <c r="AM593" t="s">
        <v>2251</v>
      </c>
      <c r="AN593" t="s">
        <v>2252</v>
      </c>
      <c r="AO593" t="s">
        <v>2253</v>
      </c>
      <c r="AP593" t="s">
        <v>74</v>
      </c>
      <c r="AQ593" t="s">
        <v>74</v>
      </c>
      <c r="AR593" t="s">
        <v>2254</v>
      </c>
      <c r="AS593" t="s">
        <v>2255</v>
      </c>
      <c r="AT593" t="s">
        <v>7577</v>
      </c>
      <c r="AU593">
        <v>2003</v>
      </c>
      <c r="AV593">
        <v>38</v>
      </c>
      <c r="AW593">
        <v>5</v>
      </c>
      <c r="AX593" t="s">
        <v>74</v>
      </c>
      <c r="AY593" t="s">
        <v>74</v>
      </c>
      <c r="AZ593" t="s">
        <v>74</v>
      </c>
      <c r="BA593" t="s">
        <v>74</v>
      </c>
      <c r="BB593">
        <v>759</v>
      </c>
      <c r="BC593">
        <v>765</v>
      </c>
      <c r="BD593" t="s">
        <v>74</v>
      </c>
      <c r="BE593" t="s">
        <v>8598</v>
      </c>
      <c r="BF593" t="str">
        <f>HYPERLINK("http://dx.doi.org/10.1111/j.1945-5100.2003.tb00040.x","http://dx.doi.org/10.1111/j.1945-5100.2003.tb00040.x")</f>
        <v>http://dx.doi.org/10.1111/j.1945-5100.2003.tb00040.x</v>
      </c>
      <c r="BG593" t="s">
        <v>74</v>
      </c>
      <c r="BH593" t="s">
        <v>74</v>
      </c>
      <c r="BI593">
        <v>7</v>
      </c>
      <c r="BJ593" t="s">
        <v>176</v>
      </c>
      <c r="BK593" t="s">
        <v>94</v>
      </c>
      <c r="BL593" t="s">
        <v>176</v>
      </c>
      <c r="BM593" t="s">
        <v>8599</v>
      </c>
      <c r="BN593" t="s">
        <v>74</v>
      </c>
      <c r="BO593" t="s">
        <v>96</v>
      </c>
      <c r="BP593" t="s">
        <v>74</v>
      </c>
      <c r="BQ593" t="s">
        <v>74</v>
      </c>
      <c r="BR593" t="s">
        <v>97</v>
      </c>
      <c r="BS593" t="s">
        <v>8600</v>
      </c>
      <c r="BT593" t="str">
        <f>HYPERLINK("https%3A%2F%2Fwww.webofscience.com%2Fwos%2Fwoscc%2Ffull-record%2FWOS:000185342300007","View Full Record in Web of Science")</f>
        <v>View Full Record in Web of Science</v>
      </c>
    </row>
    <row r="594" spans="1:72" x14ac:dyDescent="0.15">
      <c r="A594" t="s">
        <v>72</v>
      </c>
      <c r="B594" t="s">
        <v>8601</v>
      </c>
      <c r="C594" t="s">
        <v>74</v>
      </c>
      <c r="D594" t="s">
        <v>74</v>
      </c>
      <c r="E594" t="s">
        <v>74</v>
      </c>
      <c r="F594" t="s">
        <v>8601</v>
      </c>
      <c r="G594" t="s">
        <v>74</v>
      </c>
      <c r="H594" t="s">
        <v>74</v>
      </c>
      <c r="I594" t="s">
        <v>8602</v>
      </c>
      <c r="J594" t="s">
        <v>2330</v>
      </c>
      <c r="K594" t="s">
        <v>74</v>
      </c>
      <c r="L594" t="s">
        <v>74</v>
      </c>
      <c r="M594" t="s">
        <v>77</v>
      </c>
      <c r="N594" t="s">
        <v>78</v>
      </c>
      <c r="O594" t="s">
        <v>74</v>
      </c>
      <c r="P594" t="s">
        <v>74</v>
      </c>
      <c r="Q594" t="s">
        <v>74</v>
      </c>
      <c r="R594" t="s">
        <v>74</v>
      </c>
      <c r="S594" t="s">
        <v>74</v>
      </c>
      <c r="T594" t="s">
        <v>74</v>
      </c>
      <c r="U594" t="s">
        <v>8603</v>
      </c>
      <c r="V594" t="s">
        <v>8604</v>
      </c>
      <c r="W594" t="s">
        <v>8605</v>
      </c>
      <c r="X594" t="s">
        <v>8606</v>
      </c>
      <c r="Y594" t="s">
        <v>8607</v>
      </c>
      <c r="Z594" t="s">
        <v>8608</v>
      </c>
      <c r="AA594" t="s">
        <v>8609</v>
      </c>
      <c r="AB594" t="s">
        <v>8610</v>
      </c>
      <c r="AC594" t="s">
        <v>74</v>
      </c>
      <c r="AD594" t="s">
        <v>74</v>
      </c>
      <c r="AE594" t="s">
        <v>74</v>
      </c>
      <c r="AF594" t="s">
        <v>74</v>
      </c>
      <c r="AG594">
        <v>22</v>
      </c>
      <c r="AH594">
        <v>23</v>
      </c>
      <c r="AI594">
        <v>26</v>
      </c>
      <c r="AJ594">
        <v>3</v>
      </c>
      <c r="AK594">
        <v>22</v>
      </c>
      <c r="AL594" t="s">
        <v>2341</v>
      </c>
      <c r="AM594" t="s">
        <v>2342</v>
      </c>
      <c r="AN594" t="s">
        <v>2343</v>
      </c>
      <c r="AO594" t="s">
        <v>2344</v>
      </c>
      <c r="AP594" t="s">
        <v>8611</v>
      </c>
      <c r="AQ594" t="s">
        <v>74</v>
      </c>
      <c r="AR594" t="s">
        <v>2345</v>
      </c>
      <c r="AS594" t="s">
        <v>2346</v>
      </c>
      <c r="AT594" t="s">
        <v>7577</v>
      </c>
      <c r="AU594">
        <v>2003</v>
      </c>
      <c r="AV594">
        <v>27</v>
      </c>
      <c r="AW594">
        <v>2</v>
      </c>
      <c r="AX594" t="s">
        <v>74</v>
      </c>
      <c r="AY594" t="s">
        <v>74</v>
      </c>
      <c r="AZ594" t="s">
        <v>74</v>
      </c>
      <c r="BA594" t="s">
        <v>74</v>
      </c>
      <c r="BB594">
        <v>348</v>
      </c>
      <c r="BC594">
        <v>353</v>
      </c>
      <c r="BD594" t="s">
        <v>74</v>
      </c>
      <c r="BE594" t="s">
        <v>8612</v>
      </c>
      <c r="BF594" t="str">
        <f>HYPERLINK("http://dx.doi.org/10.1016/S1055-7903(02)00420-7","http://dx.doi.org/10.1016/S1055-7903(02)00420-7")</f>
        <v>http://dx.doi.org/10.1016/S1055-7903(02)00420-7</v>
      </c>
      <c r="BG594" t="s">
        <v>74</v>
      </c>
      <c r="BH594" t="s">
        <v>74</v>
      </c>
      <c r="BI594">
        <v>6</v>
      </c>
      <c r="BJ594" t="s">
        <v>2348</v>
      </c>
      <c r="BK594" t="s">
        <v>94</v>
      </c>
      <c r="BL594" t="s">
        <v>2348</v>
      </c>
      <c r="BM594" t="s">
        <v>8613</v>
      </c>
      <c r="BN594">
        <v>12695097</v>
      </c>
      <c r="BO594" t="s">
        <v>74</v>
      </c>
      <c r="BP594" t="s">
        <v>74</v>
      </c>
      <c r="BQ594" t="s">
        <v>74</v>
      </c>
      <c r="BR594" t="s">
        <v>97</v>
      </c>
      <c r="BS594" t="s">
        <v>8614</v>
      </c>
      <c r="BT594" t="str">
        <f>HYPERLINK("https%3A%2F%2Fwww.webofscience.com%2Fwos%2Fwoscc%2Ffull-record%2FWOS:000182541100015","View Full Record in Web of Science")</f>
        <v>View Full Record in Web of Science</v>
      </c>
    </row>
    <row r="595" spans="1:72" x14ac:dyDescent="0.15">
      <c r="A595" t="s">
        <v>72</v>
      </c>
      <c r="B595" t="s">
        <v>8615</v>
      </c>
      <c r="C595" t="s">
        <v>74</v>
      </c>
      <c r="D595" t="s">
        <v>74</v>
      </c>
      <c r="E595" t="s">
        <v>74</v>
      </c>
      <c r="F595" t="s">
        <v>8615</v>
      </c>
      <c r="G595" t="s">
        <v>74</v>
      </c>
      <c r="H595" t="s">
        <v>74</v>
      </c>
      <c r="I595" t="s">
        <v>8616</v>
      </c>
      <c r="J595" t="s">
        <v>8617</v>
      </c>
      <c r="K595" t="s">
        <v>74</v>
      </c>
      <c r="L595" t="s">
        <v>74</v>
      </c>
      <c r="M595" t="s">
        <v>77</v>
      </c>
      <c r="N595" t="s">
        <v>78</v>
      </c>
      <c r="O595" t="s">
        <v>74</v>
      </c>
      <c r="P595" t="s">
        <v>74</v>
      </c>
      <c r="Q595" t="s">
        <v>74</v>
      </c>
      <c r="R595" t="s">
        <v>74</v>
      </c>
      <c r="S595" t="s">
        <v>74</v>
      </c>
      <c r="T595" t="s">
        <v>8618</v>
      </c>
      <c r="U595" t="s">
        <v>8619</v>
      </c>
      <c r="V595" t="s">
        <v>8620</v>
      </c>
      <c r="W595" t="s">
        <v>8621</v>
      </c>
      <c r="X595" t="s">
        <v>8622</v>
      </c>
      <c r="Y595" t="s">
        <v>8623</v>
      </c>
      <c r="Z595" t="s">
        <v>74</v>
      </c>
      <c r="AA595" t="s">
        <v>8624</v>
      </c>
      <c r="AB595" t="s">
        <v>74</v>
      </c>
      <c r="AC595" t="s">
        <v>74</v>
      </c>
      <c r="AD595" t="s">
        <v>74</v>
      </c>
      <c r="AE595" t="s">
        <v>74</v>
      </c>
      <c r="AF595" t="s">
        <v>74</v>
      </c>
      <c r="AG595">
        <v>49</v>
      </c>
      <c r="AH595">
        <v>17</v>
      </c>
      <c r="AI595">
        <v>19</v>
      </c>
      <c r="AJ595">
        <v>1</v>
      </c>
      <c r="AK595">
        <v>6</v>
      </c>
      <c r="AL595" t="s">
        <v>8625</v>
      </c>
      <c r="AM595" t="s">
        <v>8626</v>
      </c>
      <c r="AN595" t="s">
        <v>8627</v>
      </c>
      <c r="AO595" t="s">
        <v>8628</v>
      </c>
      <c r="AP595" t="s">
        <v>74</v>
      </c>
      <c r="AQ595" t="s">
        <v>74</v>
      </c>
      <c r="AR595" t="s">
        <v>8617</v>
      </c>
      <c r="AS595" t="s">
        <v>8629</v>
      </c>
      <c r="AT595" t="s">
        <v>7592</v>
      </c>
      <c r="AU595">
        <v>2003</v>
      </c>
      <c r="AV595">
        <v>95</v>
      </c>
      <c r="AW595">
        <v>3</v>
      </c>
      <c r="AX595" t="s">
        <v>74</v>
      </c>
      <c r="AY595" t="s">
        <v>74</v>
      </c>
      <c r="AZ595" t="s">
        <v>74</v>
      </c>
      <c r="BA595" t="s">
        <v>74</v>
      </c>
      <c r="BB595">
        <v>457</v>
      </c>
      <c r="BC595">
        <v>466</v>
      </c>
      <c r="BD595" t="s">
        <v>74</v>
      </c>
      <c r="BE595" t="s">
        <v>8630</v>
      </c>
      <c r="BF595" t="str">
        <f>HYPERLINK("http://dx.doi.org/10.2307/3761887","http://dx.doi.org/10.2307/3761887")</f>
        <v>http://dx.doi.org/10.2307/3761887</v>
      </c>
      <c r="BG595" t="s">
        <v>74</v>
      </c>
      <c r="BH595" t="s">
        <v>74</v>
      </c>
      <c r="BI595">
        <v>10</v>
      </c>
      <c r="BJ595" t="s">
        <v>8631</v>
      </c>
      <c r="BK595" t="s">
        <v>94</v>
      </c>
      <c r="BL595" t="s">
        <v>8631</v>
      </c>
      <c r="BM595" t="s">
        <v>8632</v>
      </c>
      <c r="BN595">
        <v>21156634</v>
      </c>
      <c r="BO595" t="s">
        <v>74</v>
      </c>
      <c r="BP595" t="s">
        <v>74</v>
      </c>
      <c r="BQ595" t="s">
        <v>74</v>
      </c>
      <c r="BR595" t="s">
        <v>97</v>
      </c>
      <c r="BS595" t="s">
        <v>8633</v>
      </c>
      <c r="BT595" t="str">
        <f>HYPERLINK("https%3A%2F%2Fwww.webofscience.com%2Fwos%2Fwoscc%2Ffull-record%2FWOS:000184393800009","View Full Record in Web of Science")</f>
        <v>View Full Record in Web of Science</v>
      </c>
    </row>
    <row r="596" spans="1:72" x14ac:dyDescent="0.15">
      <c r="A596" t="s">
        <v>72</v>
      </c>
      <c r="B596" t="s">
        <v>8634</v>
      </c>
      <c r="C596" t="s">
        <v>74</v>
      </c>
      <c r="D596" t="s">
        <v>74</v>
      </c>
      <c r="E596" t="s">
        <v>74</v>
      </c>
      <c r="F596" t="s">
        <v>8635</v>
      </c>
      <c r="G596" t="s">
        <v>74</v>
      </c>
      <c r="H596" t="s">
        <v>74</v>
      </c>
      <c r="I596" t="s">
        <v>8636</v>
      </c>
      <c r="J596" t="s">
        <v>8637</v>
      </c>
      <c r="K596" t="s">
        <v>74</v>
      </c>
      <c r="L596" t="s">
        <v>74</v>
      </c>
      <c r="M596" t="s">
        <v>77</v>
      </c>
      <c r="N596" t="s">
        <v>78</v>
      </c>
      <c r="O596" t="s">
        <v>74</v>
      </c>
      <c r="P596" t="s">
        <v>74</v>
      </c>
      <c r="Q596" t="s">
        <v>74</v>
      </c>
      <c r="R596" t="s">
        <v>74</v>
      </c>
      <c r="S596" t="s">
        <v>74</v>
      </c>
      <c r="T596" t="s">
        <v>74</v>
      </c>
      <c r="U596" t="s">
        <v>74</v>
      </c>
      <c r="V596" t="s">
        <v>8638</v>
      </c>
      <c r="W596" t="s">
        <v>8639</v>
      </c>
      <c r="X596" t="s">
        <v>7846</v>
      </c>
      <c r="Y596" t="s">
        <v>8640</v>
      </c>
      <c r="Z596" t="s">
        <v>8641</v>
      </c>
      <c r="AA596" t="s">
        <v>8642</v>
      </c>
      <c r="AB596" t="s">
        <v>8643</v>
      </c>
      <c r="AC596" t="s">
        <v>74</v>
      </c>
      <c r="AD596" t="s">
        <v>74</v>
      </c>
      <c r="AE596" t="s">
        <v>74</v>
      </c>
      <c r="AF596" t="s">
        <v>74</v>
      </c>
      <c r="AG596">
        <v>10</v>
      </c>
      <c r="AH596">
        <v>0</v>
      </c>
      <c r="AI596">
        <v>0</v>
      </c>
      <c r="AJ596">
        <v>0</v>
      </c>
      <c r="AK596">
        <v>3</v>
      </c>
      <c r="AL596" t="s">
        <v>8644</v>
      </c>
      <c r="AM596" t="s">
        <v>8645</v>
      </c>
      <c r="AN596" t="s">
        <v>8646</v>
      </c>
      <c r="AO596" t="s">
        <v>8647</v>
      </c>
      <c r="AP596" t="s">
        <v>8648</v>
      </c>
      <c r="AQ596" t="s">
        <v>74</v>
      </c>
      <c r="AR596" t="s">
        <v>8649</v>
      </c>
      <c r="AS596" t="s">
        <v>8650</v>
      </c>
      <c r="AT596" t="s">
        <v>7577</v>
      </c>
      <c r="AU596">
        <v>2003</v>
      </c>
      <c r="AV596">
        <v>1</v>
      </c>
      <c r="AW596">
        <v>2</v>
      </c>
      <c r="AX596" t="s">
        <v>74</v>
      </c>
      <c r="AY596" t="s">
        <v>74</v>
      </c>
      <c r="AZ596" t="s">
        <v>74</v>
      </c>
      <c r="BA596" t="s">
        <v>74</v>
      </c>
      <c r="BB596">
        <v>87</v>
      </c>
      <c r="BC596">
        <v>93</v>
      </c>
      <c r="BD596" t="s">
        <v>74</v>
      </c>
      <c r="BE596" t="s">
        <v>8651</v>
      </c>
      <c r="BF596" t="str">
        <f>HYPERLINK("http://dx.doi.org/10.3997/1873-0604.2002010","http://dx.doi.org/10.3997/1873-0604.2002010")</f>
        <v>http://dx.doi.org/10.3997/1873-0604.2002010</v>
      </c>
      <c r="BG596" t="s">
        <v>74</v>
      </c>
      <c r="BH596" t="s">
        <v>74</v>
      </c>
      <c r="BI596">
        <v>7</v>
      </c>
      <c r="BJ596" t="s">
        <v>176</v>
      </c>
      <c r="BK596" t="s">
        <v>94</v>
      </c>
      <c r="BL596" t="s">
        <v>176</v>
      </c>
      <c r="BM596" t="s">
        <v>8652</v>
      </c>
      <c r="BN596" t="s">
        <v>74</v>
      </c>
      <c r="BO596" t="s">
        <v>74</v>
      </c>
      <c r="BP596" t="s">
        <v>74</v>
      </c>
      <c r="BQ596" t="s">
        <v>74</v>
      </c>
      <c r="BR596" t="s">
        <v>97</v>
      </c>
      <c r="BS596" t="s">
        <v>8653</v>
      </c>
      <c r="BT596" t="str">
        <f>HYPERLINK("https%3A%2F%2Fwww.webofscience.com%2Fwos%2Fwoscc%2Ffull-record%2FWOS:000207048200004","View Full Record in Web of Science")</f>
        <v>View Full Record in Web of Science</v>
      </c>
    </row>
    <row r="597" spans="1:72" x14ac:dyDescent="0.15">
      <c r="A597" t="s">
        <v>72</v>
      </c>
      <c r="B597" t="s">
        <v>8654</v>
      </c>
      <c r="C597" t="s">
        <v>74</v>
      </c>
      <c r="D597" t="s">
        <v>74</v>
      </c>
      <c r="E597" t="s">
        <v>74</v>
      </c>
      <c r="F597" t="s">
        <v>8654</v>
      </c>
      <c r="G597" t="s">
        <v>74</v>
      </c>
      <c r="H597" t="s">
        <v>74</v>
      </c>
      <c r="I597" t="s">
        <v>8655</v>
      </c>
      <c r="J597" t="s">
        <v>2372</v>
      </c>
      <c r="K597" t="s">
        <v>74</v>
      </c>
      <c r="L597" t="s">
        <v>74</v>
      </c>
      <c r="M597" t="s">
        <v>77</v>
      </c>
      <c r="N597" t="s">
        <v>78</v>
      </c>
      <c r="O597" t="s">
        <v>74</v>
      </c>
      <c r="P597" t="s">
        <v>74</v>
      </c>
      <c r="Q597" t="s">
        <v>74</v>
      </c>
      <c r="R597" t="s">
        <v>74</v>
      </c>
      <c r="S597" t="s">
        <v>74</v>
      </c>
      <c r="T597" t="s">
        <v>74</v>
      </c>
      <c r="U597" t="s">
        <v>8656</v>
      </c>
      <c r="V597" t="s">
        <v>8657</v>
      </c>
      <c r="W597" t="s">
        <v>8658</v>
      </c>
      <c r="X597" t="s">
        <v>2376</v>
      </c>
      <c r="Y597" t="s">
        <v>8659</v>
      </c>
      <c r="Z597" t="s">
        <v>74</v>
      </c>
      <c r="AA597" t="s">
        <v>74</v>
      </c>
      <c r="AB597" t="s">
        <v>74</v>
      </c>
      <c r="AC597" t="s">
        <v>74</v>
      </c>
      <c r="AD597" t="s">
        <v>74</v>
      </c>
      <c r="AE597" t="s">
        <v>74</v>
      </c>
      <c r="AF597" t="s">
        <v>74</v>
      </c>
      <c r="AG597">
        <v>19</v>
      </c>
      <c r="AH597">
        <v>3</v>
      </c>
      <c r="AI597">
        <v>3</v>
      </c>
      <c r="AJ597">
        <v>0</v>
      </c>
      <c r="AK597">
        <v>1</v>
      </c>
      <c r="AL597" t="s">
        <v>1789</v>
      </c>
      <c r="AM597" t="s">
        <v>1790</v>
      </c>
      <c r="AN597" t="s">
        <v>1791</v>
      </c>
      <c r="AO597" t="s">
        <v>2380</v>
      </c>
      <c r="AP597" t="s">
        <v>74</v>
      </c>
      <c r="AQ597" t="s">
        <v>74</v>
      </c>
      <c r="AR597" t="s">
        <v>2382</v>
      </c>
      <c r="AS597" t="s">
        <v>2383</v>
      </c>
      <c r="AT597" t="s">
        <v>7592</v>
      </c>
      <c r="AU597">
        <v>2003</v>
      </c>
      <c r="AV597">
        <v>43</v>
      </c>
      <c r="AW597">
        <v>3</v>
      </c>
      <c r="AX597" t="s">
        <v>74</v>
      </c>
      <c r="AY597" t="s">
        <v>74</v>
      </c>
      <c r="AZ597" t="s">
        <v>74</v>
      </c>
      <c r="BA597" t="s">
        <v>74</v>
      </c>
      <c r="BB597">
        <v>305</v>
      </c>
      <c r="BC597">
        <v>317</v>
      </c>
      <c r="BD597" t="s">
        <v>74</v>
      </c>
      <c r="BE597" t="s">
        <v>74</v>
      </c>
      <c r="BF597" t="s">
        <v>74</v>
      </c>
      <c r="BG597" t="s">
        <v>74</v>
      </c>
      <c r="BH597" t="s">
        <v>74</v>
      </c>
      <c r="BI597">
        <v>13</v>
      </c>
      <c r="BJ597" t="s">
        <v>678</v>
      </c>
      <c r="BK597" t="s">
        <v>94</v>
      </c>
      <c r="BL597" t="s">
        <v>678</v>
      </c>
      <c r="BM597" t="s">
        <v>8660</v>
      </c>
      <c r="BN597" t="s">
        <v>74</v>
      </c>
      <c r="BO597" t="s">
        <v>74</v>
      </c>
      <c r="BP597" t="s">
        <v>74</v>
      </c>
      <c r="BQ597" t="s">
        <v>74</v>
      </c>
      <c r="BR597" t="s">
        <v>97</v>
      </c>
      <c r="BS597" t="s">
        <v>8661</v>
      </c>
      <c r="BT597" t="str">
        <f>HYPERLINK("https%3A%2F%2Fwww.webofscience.com%2Fwos%2Fwoscc%2Ffull-record%2FWOS:000183927900001","View Full Record in Web of Science")</f>
        <v>View Full Record in Web of Science</v>
      </c>
    </row>
    <row r="598" spans="1:72" x14ac:dyDescent="0.15">
      <c r="A598" t="s">
        <v>72</v>
      </c>
      <c r="B598" t="s">
        <v>8662</v>
      </c>
      <c r="C598" t="s">
        <v>74</v>
      </c>
      <c r="D598" t="s">
        <v>74</v>
      </c>
      <c r="E598" t="s">
        <v>74</v>
      </c>
      <c r="F598" t="s">
        <v>8662</v>
      </c>
      <c r="G598" t="s">
        <v>74</v>
      </c>
      <c r="H598" t="s">
        <v>74</v>
      </c>
      <c r="I598" t="s">
        <v>8663</v>
      </c>
      <c r="J598" t="s">
        <v>2372</v>
      </c>
      <c r="K598" t="s">
        <v>74</v>
      </c>
      <c r="L598" t="s">
        <v>74</v>
      </c>
      <c r="M598" t="s">
        <v>77</v>
      </c>
      <c r="N598" t="s">
        <v>78</v>
      </c>
      <c r="O598" t="s">
        <v>74</v>
      </c>
      <c r="P598" t="s">
        <v>74</v>
      </c>
      <c r="Q598" t="s">
        <v>74</v>
      </c>
      <c r="R598" t="s">
        <v>74</v>
      </c>
      <c r="S598" t="s">
        <v>74</v>
      </c>
      <c r="T598" t="s">
        <v>74</v>
      </c>
      <c r="U598" t="s">
        <v>8664</v>
      </c>
      <c r="V598" t="s">
        <v>8665</v>
      </c>
      <c r="W598" t="s">
        <v>8666</v>
      </c>
      <c r="X598" t="s">
        <v>8667</v>
      </c>
      <c r="Y598" t="s">
        <v>8668</v>
      </c>
      <c r="Z598" t="s">
        <v>74</v>
      </c>
      <c r="AA598" t="s">
        <v>8669</v>
      </c>
      <c r="AB598" t="s">
        <v>8670</v>
      </c>
      <c r="AC598" t="s">
        <v>74</v>
      </c>
      <c r="AD598" t="s">
        <v>74</v>
      </c>
      <c r="AE598" t="s">
        <v>74</v>
      </c>
      <c r="AF598" t="s">
        <v>74</v>
      </c>
      <c r="AG598">
        <v>18</v>
      </c>
      <c r="AH598">
        <v>11</v>
      </c>
      <c r="AI598">
        <v>12</v>
      </c>
      <c r="AJ598">
        <v>0</v>
      </c>
      <c r="AK598">
        <v>4</v>
      </c>
      <c r="AL598" t="s">
        <v>1817</v>
      </c>
      <c r="AM598" t="s">
        <v>229</v>
      </c>
      <c r="AN598" t="s">
        <v>1818</v>
      </c>
      <c r="AO598" t="s">
        <v>2380</v>
      </c>
      <c r="AP598" t="s">
        <v>2381</v>
      </c>
      <c r="AQ598" t="s">
        <v>74</v>
      </c>
      <c r="AR598" t="s">
        <v>2382</v>
      </c>
      <c r="AS598" t="s">
        <v>2383</v>
      </c>
      <c r="AT598" t="s">
        <v>7592</v>
      </c>
      <c r="AU598">
        <v>2003</v>
      </c>
      <c r="AV598">
        <v>43</v>
      </c>
      <c r="AW598">
        <v>3</v>
      </c>
      <c r="AX598" t="s">
        <v>74</v>
      </c>
      <c r="AY598" t="s">
        <v>74</v>
      </c>
      <c r="AZ598" t="s">
        <v>74</v>
      </c>
      <c r="BA598" t="s">
        <v>74</v>
      </c>
      <c r="BB598">
        <v>333</v>
      </c>
      <c r="BC598">
        <v>343</v>
      </c>
      <c r="BD598" t="s">
        <v>74</v>
      </c>
      <c r="BE598" t="s">
        <v>74</v>
      </c>
      <c r="BF598" t="s">
        <v>74</v>
      </c>
      <c r="BG598" t="s">
        <v>74</v>
      </c>
      <c r="BH598" t="s">
        <v>74</v>
      </c>
      <c r="BI598">
        <v>11</v>
      </c>
      <c r="BJ598" t="s">
        <v>678</v>
      </c>
      <c r="BK598" t="s">
        <v>94</v>
      </c>
      <c r="BL598" t="s">
        <v>678</v>
      </c>
      <c r="BM598" t="s">
        <v>8660</v>
      </c>
      <c r="BN598" t="s">
        <v>74</v>
      </c>
      <c r="BO598" t="s">
        <v>74</v>
      </c>
      <c r="BP598" t="s">
        <v>74</v>
      </c>
      <c r="BQ598" t="s">
        <v>74</v>
      </c>
      <c r="BR598" t="s">
        <v>97</v>
      </c>
      <c r="BS598" t="s">
        <v>8671</v>
      </c>
      <c r="BT598" t="str">
        <f>HYPERLINK("https%3A%2F%2Fwww.webofscience.com%2Fwos%2Fwoscc%2Ffull-record%2FWOS:000183927900004","View Full Record in Web of Science")</f>
        <v>View Full Record in Web of Science</v>
      </c>
    </row>
    <row r="599" spans="1:72" x14ac:dyDescent="0.15">
      <c r="A599" t="s">
        <v>72</v>
      </c>
      <c r="B599" t="s">
        <v>8672</v>
      </c>
      <c r="C599" t="s">
        <v>74</v>
      </c>
      <c r="D599" t="s">
        <v>74</v>
      </c>
      <c r="E599" t="s">
        <v>74</v>
      </c>
      <c r="F599" t="s">
        <v>8672</v>
      </c>
      <c r="G599" t="s">
        <v>74</v>
      </c>
      <c r="H599" t="s">
        <v>74</v>
      </c>
      <c r="I599" t="s">
        <v>8673</v>
      </c>
      <c r="J599" t="s">
        <v>8674</v>
      </c>
      <c r="K599" t="s">
        <v>74</v>
      </c>
      <c r="L599" t="s">
        <v>74</v>
      </c>
      <c r="M599" t="s">
        <v>77</v>
      </c>
      <c r="N599" t="s">
        <v>78</v>
      </c>
      <c r="O599" t="s">
        <v>74</v>
      </c>
      <c r="P599" t="s">
        <v>74</v>
      </c>
      <c r="Q599" t="s">
        <v>74</v>
      </c>
      <c r="R599" t="s">
        <v>74</v>
      </c>
      <c r="S599" t="s">
        <v>74</v>
      </c>
      <c r="T599" t="s">
        <v>8675</v>
      </c>
      <c r="U599" t="s">
        <v>8676</v>
      </c>
      <c r="V599" t="s">
        <v>8677</v>
      </c>
      <c r="W599" t="s">
        <v>3132</v>
      </c>
      <c r="X599" t="s">
        <v>706</v>
      </c>
      <c r="Y599" t="s">
        <v>8678</v>
      </c>
      <c r="Z599" t="s">
        <v>74</v>
      </c>
      <c r="AA599" t="s">
        <v>8624</v>
      </c>
      <c r="AB599" t="s">
        <v>74</v>
      </c>
      <c r="AC599" t="s">
        <v>74</v>
      </c>
      <c r="AD599" t="s">
        <v>74</v>
      </c>
      <c r="AE599" t="s">
        <v>74</v>
      </c>
      <c r="AF599" t="s">
        <v>74</v>
      </c>
      <c r="AG599">
        <v>22</v>
      </c>
      <c r="AH599">
        <v>63</v>
      </c>
      <c r="AI599">
        <v>70</v>
      </c>
      <c r="AJ599">
        <v>0</v>
      </c>
      <c r="AK599">
        <v>13</v>
      </c>
      <c r="AL599" t="s">
        <v>342</v>
      </c>
      <c r="AM599" t="s">
        <v>229</v>
      </c>
      <c r="AN599" t="s">
        <v>343</v>
      </c>
      <c r="AO599" t="s">
        <v>8679</v>
      </c>
      <c r="AP599" t="s">
        <v>74</v>
      </c>
      <c r="AQ599" t="s">
        <v>74</v>
      </c>
      <c r="AR599" t="s">
        <v>8674</v>
      </c>
      <c r="AS599" t="s">
        <v>8680</v>
      </c>
      <c r="AT599" t="s">
        <v>7577</v>
      </c>
      <c r="AU599">
        <v>2003</v>
      </c>
      <c r="AV599">
        <v>135</v>
      </c>
      <c r="AW599">
        <v>3</v>
      </c>
      <c r="AX599" t="s">
        <v>74</v>
      </c>
      <c r="AY599" t="s">
        <v>74</v>
      </c>
      <c r="AZ599" t="s">
        <v>74</v>
      </c>
      <c r="BA599" t="s">
        <v>74</v>
      </c>
      <c r="BB599">
        <v>327</v>
      </c>
      <c r="BC599">
        <v>331</v>
      </c>
      <c r="BD599" t="s">
        <v>74</v>
      </c>
      <c r="BE599" t="s">
        <v>8681</v>
      </c>
      <c r="BF599" t="str">
        <f>HYPERLINK("http://dx.doi.org/10.1007/s00442-003-1191-x","http://dx.doi.org/10.1007/s00442-003-1191-x")</f>
        <v>http://dx.doi.org/10.1007/s00442-003-1191-x</v>
      </c>
      <c r="BG599" t="s">
        <v>74</v>
      </c>
      <c r="BH599" t="s">
        <v>74</v>
      </c>
      <c r="BI599">
        <v>5</v>
      </c>
      <c r="BJ599" t="s">
        <v>3535</v>
      </c>
      <c r="BK599" t="s">
        <v>94</v>
      </c>
      <c r="BL599" t="s">
        <v>2512</v>
      </c>
      <c r="BM599" t="s">
        <v>8682</v>
      </c>
      <c r="BN599">
        <v>12721820</v>
      </c>
      <c r="BO599" t="s">
        <v>974</v>
      </c>
      <c r="BP599" t="s">
        <v>74</v>
      </c>
      <c r="BQ599" t="s">
        <v>74</v>
      </c>
      <c r="BR599" t="s">
        <v>97</v>
      </c>
      <c r="BS599" t="s">
        <v>8683</v>
      </c>
      <c r="BT599" t="str">
        <f>HYPERLINK("https%3A%2F%2Fwww.webofscience.com%2Fwos%2Fwoscc%2Ffull-record%2FWOS:000183198000001","View Full Record in Web of Science")</f>
        <v>View Full Record in Web of Science</v>
      </c>
    </row>
    <row r="600" spans="1:72" x14ac:dyDescent="0.15">
      <c r="A600" t="s">
        <v>72</v>
      </c>
      <c r="B600" t="s">
        <v>8684</v>
      </c>
      <c r="C600" t="s">
        <v>74</v>
      </c>
      <c r="D600" t="s">
        <v>74</v>
      </c>
      <c r="E600" t="s">
        <v>74</v>
      </c>
      <c r="F600" t="s">
        <v>8684</v>
      </c>
      <c r="G600" t="s">
        <v>74</v>
      </c>
      <c r="H600" t="s">
        <v>74</v>
      </c>
      <c r="I600" t="s">
        <v>8685</v>
      </c>
      <c r="J600" t="s">
        <v>772</v>
      </c>
      <c r="K600" t="s">
        <v>74</v>
      </c>
      <c r="L600" t="s">
        <v>74</v>
      </c>
      <c r="M600" t="s">
        <v>77</v>
      </c>
      <c r="N600" t="s">
        <v>78</v>
      </c>
      <c r="O600" t="s">
        <v>74</v>
      </c>
      <c r="P600" t="s">
        <v>74</v>
      </c>
      <c r="Q600" t="s">
        <v>74</v>
      </c>
      <c r="R600" t="s">
        <v>74</v>
      </c>
      <c r="S600" t="s">
        <v>74</v>
      </c>
      <c r="T600" t="s">
        <v>8686</v>
      </c>
      <c r="U600" t="s">
        <v>8687</v>
      </c>
      <c r="V600" t="s">
        <v>8688</v>
      </c>
      <c r="W600" t="s">
        <v>8689</v>
      </c>
      <c r="X600" t="s">
        <v>6001</v>
      </c>
      <c r="Y600" t="s">
        <v>6002</v>
      </c>
      <c r="Z600" t="s">
        <v>8690</v>
      </c>
      <c r="AA600" t="s">
        <v>8691</v>
      </c>
      <c r="AB600" t="s">
        <v>8692</v>
      </c>
      <c r="AC600" t="s">
        <v>74</v>
      </c>
      <c r="AD600" t="s">
        <v>74</v>
      </c>
      <c r="AE600" t="s">
        <v>74</v>
      </c>
      <c r="AF600" t="s">
        <v>74</v>
      </c>
      <c r="AG600">
        <v>62</v>
      </c>
      <c r="AH600">
        <v>59</v>
      </c>
      <c r="AI600">
        <v>64</v>
      </c>
      <c r="AJ600">
        <v>0</v>
      </c>
      <c r="AK600">
        <v>22</v>
      </c>
      <c r="AL600" t="s">
        <v>781</v>
      </c>
      <c r="AM600" t="s">
        <v>111</v>
      </c>
      <c r="AN600" t="s">
        <v>782</v>
      </c>
      <c r="AO600" t="s">
        <v>783</v>
      </c>
      <c r="AP600" t="s">
        <v>784</v>
      </c>
      <c r="AQ600" t="s">
        <v>74</v>
      </c>
      <c r="AR600" t="s">
        <v>785</v>
      </c>
      <c r="AS600" t="s">
        <v>786</v>
      </c>
      <c r="AT600" t="s">
        <v>7995</v>
      </c>
      <c r="AU600">
        <v>2003</v>
      </c>
      <c r="AV600">
        <v>193</v>
      </c>
      <c r="AW600" t="s">
        <v>116</v>
      </c>
      <c r="AX600" t="s">
        <v>74</v>
      </c>
      <c r="AY600" t="s">
        <v>74</v>
      </c>
      <c r="AZ600" t="s">
        <v>74</v>
      </c>
      <c r="BA600" t="s">
        <v>74</v>
      </c>
      <c r="BB600">
        <v>349</v>
      </c>
      <c r="BC600">
        <v>382</v>
      </c>
      <c r="BD600" t="s">
        <v>74</v>
      </c>
      <c r="BE600" t="s">
        <v>8693</v>
      </c>
      <c r="BF600" t="str">
        <f>HYPERLINK("http://dx.doi.org/10.1016/S0031-0182(03)00231-1","http://dx.doi.org/10.1016/S0031-0182(03)00231-1")</f>
        <v>http://dx.doi.org/10.1016/S0031-0182(03)00231-1</v>
      </c>
      <c r="BG600" t="s">
        <v>74</v>
      </c>
      <c r="BH600" t="s">
        <v>74</v>
      </c>
      <c r="BI600">
        <v>34</v>
      </c>
      <c r="BJ600" t="s">
        <v>789</v>
      </c>
      <c r="BK600" t="s">
        <v>94</v>
      </c>
      <c r="BL600" t="s">
        <v>790</v>
      </c>
      <c r="BM600" t="s">
        <v>8694</v>
      </c>
      <c r="BN600" t="s">
        <v>74</v>
      </c>
      <c r="BO600" t="s">
        <v>74</v>
      </c>
      <c r="BP600" t="s">
        <v>74</v>
      </c>
      <c r="BQ600" t="s">
        <v>74</v>
      </c>
      <c r="BR600" t="s">
        <v>97</v>
      </c>
      <c r="BS600" t="s">
        <v>8695</v>
      </c>
      <c r="BT600" t="str">
        <f>HYPERLINK("https%3A%2F%2Fwww.webofscience.com%2Fwos%2Fwoscc%2Ffull-record%2FWOS:000182414700001","View Full Record in Web of Science")</f>
        <v>View Full Record in Web of Science</v>
      </c>
    </row>
    <row r="601" spans="1:72" x14ac:dyDescent="0.15">
      <c r="A601" t="s">
        <v>72</v>
      </c>
      <c r="B601" t="s">
        <v>8696</v>
      </c>
      <c r="C601" t="s">
        <v>74</v>
      </c>
      <c r="D601" t="s">
        <v>74</v>
      </c>
      <c r="E601" t="s">
        <v>74</v>
      </c>
      <c r="F601" t="s">
        <v>8696</v>
      </c>
      <c r="G601" t="s">
        <v>74</v>
      </c>
      <c r="H601" t="s">
        <v>74</v>
      </c>
      <c r="I601" t="s">
        <v>8697</v>
      </c>
      <c r="J601" t="s">
        <v>316</v>
      </c>
      <c r="K601" t="s">
        <v>74</v>
      </c>
      <c r="L601" t="s">
        <v>74</v>
      </c>
      <c r="M601" t="s">
        <v>77</v>
      </c>
      <c r="N601" t="s">
        <v>78</v>
      </c>
      <c r="O601" t="s">
        <v>74</v>
      </c>
      <c r="P601" t="s">
        <v>74</v>
      </c>
      <c r="Q601" t="s">
        <v>74</v>
      </c>
      <c r="R601" t="s">
        <v>74</v>
      </c>
      <c r="S601" t="s">
        <v>74</v>
      </c>
      <c r="T601" t="s">
        <v>74</v>
      </c>
      <c r="U601" t="s">
        <v>8698</v>
      </c>
      <c r="V601" t="s">
        <v>8699</v>
      </c>
      <c r="W601" t="s">
        <v>8700</v>
      </c>
      <c r="X601" t="s">
        <v>8701</v>
      </c>
      <c r="Y601" t="s">
        <v>8702</v>
      </c>
      <c r="Z601" t="s">
        <v>8703</v>
      </c>
      <c r="AA601" t="s">
        <v>74</v>
      </c>
      <c r="AB601" t="s">
        <v>8704</v>
      </c>
      <c r="AC601" t="s">
        <v>74</v>
      </c>
      <c r="AD601" t="s">
        <v>74</v>
      </c>
      <c r="AE601" t="s">
        <v>74</v>
      </c>
      <c r="AF601" t="s">
        <v>74</v>
      </c>
      <c r="AG601">
        <v>25</v>
      </c>
      <c r="AH601">
        <v>60</v>
      </c>
      <c r="AI601">
        <v>64</v>
      </c>
      <c r="AJ601">
        <v>0</v>
      </c>
      <c r="AK601">
        <v>12</v>
      </c>
      <c r="AL601" t="s">
        <v>207</v>
      </c>
      <c r="AM601" t="s">
        <v>229</v>
      </c>
      <c r="AN601" t="s">
        <v>323</v>
      </c>
      <c r="AO601" t="s">
        <v>324</v>
      </c>
      <c r="AP601" t="s">
        <v>325</v>
      </c>
      <c r="AQ601" t="s">
        <v>74</v>
      </c>
      <c r="AR601" t="s">
        <v>326</v>
      </c>
      <c r="AS601" t="s">
        <v>327</v>
      </c>
      <c r="AT601" t="s">
        <v>7577</v>
      </c>
      <c r="AU601">
        <v>2003</v>
      </c>
      <c r="AV601">
        <v>26</v>
      </c>
      <c r="AW601">
        <v>5</v>
      </c>
      <c r="AX601" t="s">
        <v>74</v>
      </c>
      <c r="AY601" t="s">
        <v>74</v>
      </c>
      <c r="AZ601" t="s">
        <v>74</v>
      </c>
      <c r="BA601" t="s">
        <v>74</v>
      </c>
      <c r="BB601">
        <v>295</v>
      </c>
      <c r="BC601">
        <v>301</v>
      </c>
      <c r="BD601" t="s">
        <v>74</v>
      </c>
      <c r="BE601" t="s">
        <v>8705</v>
      </c>
      <c r="BF601" t="str">
        <f>HYPERLINK("http://dx.doi.org/10.1007/s00300-003-0484-1","http://dx.doi.org/10.1007/s00300-003-0484-1")</f>
        <v>http://dx.doi.org/10.1007/s00300-003-0484-1</v>
      </c>
      <c r="BG601" t="s">
        <v>74</v>
      </c>
      <c r="BH601" t="s">
        <v>74</v>
      </c>
      <c r="BI601">
        <v>7</v>
      </c>
      <c r="BJ601" t="s">
        <v>329</v>
      </c>
      <c r="BK601" t="s">
        <v>94</v>
      </c>
      <c r="BL601" t="s">
        <v>330</v>
      </c>
      <c r="BM601" t="s">
        <v>8706</v>
      </c>
      <c r="BN601" t="s">
        <v>74</v>
      </c>
      <c r="BO601" t="s">
        <v>74</v>
      </c>
      <c r="BP601" t="s">
        <v>74</v>
      </c>
      <c r="BQ601" t="s">
        <v>74</v>
      </c>
      <c r="BR601" t="s">
        <v>97</v>
      </c>
      <c r="BS601" t="s">
        <v>8707</v>
      </c>
      <c r="BT601" t="str">
        <f>HYPERLINK("https%3A%2F%2Fwww.webofscience.com%2Fwos%2Fwoscc%2Ffull-record%2FWOS:000183122000002","View Full Record in Web of Science")</f>
        <v>View Full Record in Web of Science</v>
      </c>
    </row>
    <row r="602" spans="1:72" x14ac:dyDescent="0.15">
      <c r="A602" t="s">
        <v>72</v>
      </c>
      <c r="B602" t="s">
        <v>8708</v>
      </c>
      <c r="C602" t="s">
        <v>74</v>
      </c>
      <c r="D602" t="s">
        <v>74</v>
      </c>
      <c r="E602" t="s">
        <v>74</v>
      </c>
      <c r="F602" t="s">
        <v>8708</v>
      </c>
      <c r="G602" t="s">
        <v>74</v>
      </c>
      <c r="H602" t="s">
        <v>74</v>
      </c>
      <c r="I602" t="s">
        <v>8709</v>
      </c>
      <c r="J602" t="s">
        <v>316</v>
      </c>
      <c r="K602" t="s">
        <v>74</v>
      </c>
      <c r="L602" t="s">
        <v>74</v>
      </c>
      <c r="M602" t="s">
        <v>77</v>
      </c>
      <c r="N602" t="s">
        <v>78</v>
      </c>
      <c r="O602" t="s">
        <v>74</v>
      </c>
      <c r="P602" t="s">
        <v>74</v>
      </c>
      <c r="Q602" t="s">
        <v>74</v>
      </c>
      <c r="R602" t="s">
        <v>74</v>
      </c>
      <c r="S602" t="s">
        <v>74</v>
      </c>
      <c r="T602" t="s">
        <v>74</v>
      </c>
      <c r="U602" t="s">
        <v>8710</v>
      </c>
      <c r="V602" t="s">
        <v>8711</v>
      </c>
      <c r="W602" t="s">
        <v>8712</v>
      </c>
      <c r="X602" t="s">
        <v>8713</v>
      </c>
      <c r="Y602" t="s">
        <v>8714</v>
      </c>
      <c r="Z602" t="s">
        <v>74</v>
      </c>
      <c r="AA602" t="s">
        <v>74</v>
      </c>
      <c r="AB602" t="s">
        <v>8715</v>
      </c>
      <c r="AC602" t="s">
        <v>74</v>
      </c>
      <c r="AD602" t="s">
        <v>74</v>
      </c>
      <c r="AE602" t="s">
        <v>74</v>
      </c>
      <c r="AF602" t="s">
        <v>74</v>
      </c>
      <c r="AG602">
        <v>46</v>
      </c>
      <c r="AH602">
        <v>16</v>
      </c>
      <c r="AI602">
        <v>18</v>
      </c>
      <c r="AJ602">
        <v>0</v>
      </c>
      <c r="AK602">
        <v>6</v>
      </c>
      <c r="AL602" t="s">
        <v>342</v>
      </c>
      <c r="AM602" t="s">
        <v>229</v>
      </c>
      <c r="AN602" t="s">
        <v>343</v>
      </c>
      <c r="AO602" t="s">
        <v>324</v>
      </c>
      <c r="AP602" t="s">
        <v>74</v>
      </c>
      <c r="AQ602" t="s">
        <v>74</v>
      </c>
      <c r="AR602" t="s">
        <v>326</v>
      </c>
      <c r="AS602" t="s">
        <v>327</v>
      </c>
      <c r="AT602" t="s">
        <v>7577</v>
      </c>
      <c r="AU602">
        <v>2003</v>
      </c>
      <c r="AV602">
        <v>26</v>
      </c>
      <c r="AW602">
        <v>5</v>
      </c>
      <c r="AX602" t="s">
        <v>74</v>
      </c>
      <c r="AY602" t="s">
        <v>74</v>
      </c>
      <c r="AZ602" t="s">
        <v>74</v>
      </c>
      <c r="BA602" t="s">
        <v>74</v>
      </c>
      <c r="BB602">
        <v>302</v>
      </c>
      <c r="BC602">
        <v>310</v>
      </c>
      <c r="BD602" t="s">
        <v>74</v>
      </c>
      <c r="BE602" t="s">
        <v>8716</v>
      </c>
      <c r="BF602" t="str">
        <f>HYPERLINK("http://dx.doi.org/10.1007/s00300-003-0485-0","http://dx.doi.org/10.1007/s00300-003-0485-0")</f>
        <v>http://dx.doi.org/10.1007/s00300-003-0485-0</v>
      </c>
      <c r="BG602" t="s">
        <v>74</v>
      </c>
      <c r="BH602" t="s">
        <v>74</v>
      </c>
      <c r="BI602">
        <v>9</v>
      </c>
      <c r="BJ602" t="s">
        <v>329</v>
      </c>
      <c r="BK602" t="s">
        <v>94</v>
      </c>
      <c r="BL602" t="s">
        <v>330</v>
      </c>
      <c r="BM602" t="s">
        <v>8706</v>
      </c>
      <c r="BN602" t="s">
        <v>74</v>
      </c>
      <c r="BO602" t="s">
        <v>74</v>
      </c>
      <c r="BP602" t="s">
        <v>74</v>
      </c>
      <c r="BQ602" t="s">
        <v>74</v>
      </c>
      <c r="BR602" t="s">
        <v>97</v>
      </c>
      <c r="BS602" t="s">
        <v>8717</v>
      </c>
      <c r="BT602" t="str">
        <f>HYPERLINK("https%3A%2F%2Fwww.webofscience.com%2Fwos%2Fwoscc%2Ffull-record%2FWOS:000183122000003","View Full Record in Web of Science")</f>
        <v>View Full Record in Web of Science</v>
      </c>
    </row>
    <row r="603" spans="1:72" x14ac:dyDescent="0.15">
      <c r="A603" t="s">
        <v>72</v>
      </c>
      <c r="B603" t="s">
        <v>8718</v>
      </c>
      <c r="C603" t="s">
        <v>74</v>
      </c>
      <c r="D603" t="s">
        <v>74</v>
      </c>
      <c r="E603" t="s">
        <v>74</v>
      </c>
      <c r="F603" t="s">
        <v>8718</v>
      </c>
      <c r="G603" t="s">
        <v>74</v>
      </c>
      <c r="H603" t="s">
        <v>74</v>
      </c>
      <c r="I603" t="s">
        <v>8719</v>
      </c>
      <c r="J603" t="s">
        <v>316</v>
      </c>
      <c r="K603" t="s">
        <v>74</v>
      </c>
      <c r="L603" t="s">
        <v>74</v>
      </c>
      <c r="M603" t="s">
        <v>77</v>
      </c>
      <c r="N603" t="s">
        <v>78</v>
      </c>
      <c r="O603" t="s">
        <v>74</v>
      </c>
      <c r="P603" t="s">
        <v>74</v>
      </c>
      <c r="Q603" t="s">
        <v>74</v>
      </c>
      <c r="R603" t="s">
        <v>74</v>
      </c>
      <c r="S603" t="s">
        <v>74</v>
      </c>
      <c r="T603" t="s">
        <v>74</v>
      </c>
      <c r="U603" t="s">
        <v>8720</v>
      </c>
      <c r="V603" t="s">
        <v>8721</v>
      </c>
      <c r="W603" t="s">
        <v>8722</v>
      </c>
      <c r="X603" t="s">
        <v>8723</v>
      </c>
      <c r="Y603" t="s">
        <v>8724</v>
      </c>
      <c r="Z603" t="s">
        <v>8725</v>
      </c>
      <c r="AA603" t="s">
        <v>8726</v>
      </c>
      <c r="AB603" t="s">
        <v>8727</v>
      </c>
      <c r="AC603" t="s">
        <v>74</v>
      </c>
      <c r="AD603" t="s">
        <v>74</v>
      </c>
      <c r="AE603" t="s">
        <v>74</v>
      </c>
      <c r="AF603" t="s">
        <v>74</v>
      </c>
      <c r="AG603">
        <v>30</v>
      </c>
      <c r="AH603">
        <v>7</v>
      </c>
      <c r="AI603">
        <v>7</v>
      </c>
      <c r="AJ603">
        <v>0</v>
      </c>
      <c r="AK603">
        <v>6</v>
      </c>
      <c r="AL603" t="s">
        <v>342</v>
      </c>
      <c r="AM603" t="s">
        <v>229</v>
      </c>
      <c r="AN603" t="s">
        <v>343</v>
      </c>
      <c r="AO603" t="s">
        <v>324</v>
      </c>
      <c r="AP603" t="s">
        <v>74</v>
      </c>
      <c r="AQ603" t="s">
        <v>74</v>
      </c>
      <c r="AR603" t="s">
        <v>326</v>
      </c>
      <c r="AS603" t="s">
        <v>327</v>
      </c>
      <c r="AT603" t="s">
        <v>7577</v>
      </c>
      <c r="AU603">
        <v>2003</v>
      </c>
      <c r="AV603">
        <v>26</v>
      </c>
      <c r="AW603">
        <v>5</v>
      </c>
      <c r="AX603" t="s">
        <v>74</v>
      </c>
      <c r="AY603" t="s">
        <v>74</v>
      </c>
      <c r="AZ603" t="s">
        <v>74</v>
      </c>
      <c r="BA603" t="s">
        <v>74</v>
      </c>
      <c r="BB603">
        <v>327</v>
      </c>
      <c r="BC603">
        <v>333</v>
      </c>
      <c r="BD603" t="s">
        <v>74</v>
      </c>
      <c r="BE603" t="s">
        <v>8728</v>
      </c>
      <c r="BF603" t="str">
        <f>HYPERLINK("http://dx.doi.org/10.1007/s00300-003-0482-3","http://dx.doi.org/10.1007/s00300-003-0482-3")</f>
        <v>http://dx.doi.org/10.1007/s00300-003-0482-3</v>
      </c>
      <c r="BG603" t="s">
        <v>74</v>
      </c>
      <c r="BH603" t="s">
        <v>74</v>
      </c>
      <c r="BI603">
        <v>7</v>
      </c>
      <c r="BJ603" t="s">
        <v>329</v>
      </c>
      <c r="BK603" t="s">
        <v>94</v>
      </c>
      <c r="BL603" t="s">
        <v>330</v>
      </c>
      <c r="BM603" t="s">
        <v>8706</v>
      </c>
      <c r="BN603" t="s">
        <v>74</v>
      </c>
      <c r="BO603" t="s">
        <v>74</v>
      </c>
      <c r="BP603" t="s">
        <v>74</v>
      </c>
      <c r="BQ603" t="s">
        <v>74</v>
      </c>
      <c r="BR603" t="s">
        <v>97</v>
      </c>
      <c r="BS603" t="s">
        <v>8729</v>
      </c>
      <c r="BT603" t="str">
        <f>HYPERLINK("https%3A%2F%2Fwww.webofscience.com%2Fwos%2Fwoscc%2Ffull-record%2FWOS:000183122000006","View Full Record in Web of Science")</f>
        <v>View Full Record in Web of Science</v>
      </c>
    </row>
    <row r="604" spans="1:72" x14ac:dyDescent="0.15">
      <c r="A604" t="s">
        <v>72</v>
      </c>
      <c r="B604" t="s">
        <v>8730</v>
      </c>
      <c r="C604" t="s">
        <v>74</v>
      </c>
      <c r="D604" t="s">
        <v>74</v>
      </c>
      <c r="E604" t="s">
        <v>74</v>
      </c>
      <c r="F604" t="s">
        <v>8730</v>
      </c>
      <c r="G604" t="s">
        <v>74</v>
      </c>
      <c r="H604" t="s">
        <v>74</v>
      </c>
      <c r="I604" t="s">
        <v>8731</v>
      </c>
      <c r="J604" t="s">
        <v>1015</v>
      </c>
      <c r="K604" t="s">
        <v>74</v>
      </c>
      <c r="L604" t="s">
        <v>74</v>
      </c>
      <c r="M604" t="s">
        <v>77</v>
      </c>
      <c r="N604" t="s">
        <v>78</v>
      </c>
      <c r="O604" t="s">
        <v>74</v>
      </c>
      <c r="P604" t="s">
        <v>74</v>
      </c>
      <c r="Q604" t="s">
        <v>74</v>
      </c>
      <c r="R604" t="s">
        <v>74</v>
      </c>
      <c r="S604" t="s">
        <v>74</v>
      </c>
      <c r="T604" t="s">
        <v>8732</v>
      </c>
      <c r="U604" t="s">
        <v>8733</v>
      </c>
      <c r="V604" t="s">
        <v>8734</v>
      </c>
      <c r="W604" t="s">
        <v>8735</v>
      </c>
      <c r="X604" t="s">
        <v>8736</v>
      </c>
      <c r="Y604" t="s">
        <v>8737</v>
      </c>
      <c r="Z604" t="s">
        <v>8738</v>
      </c>
      <c r="AA604" t="s">
        <v>8739</v>
      </c>
      <c r="AB604" t="s">
        <v>8740</v>
      </c>
      <c r="AC604" t="s">
        <v>74</v>
      </c>
      <c r="AD604" t="s">
        <v>74</v>
      </c>
      <c r="AE604" t="s">
        <v>74</v>
      </c>
      <c r="AF604" t="s">
        <v>74</v>
      </c>
      <c r="AG604">
        <v>31</v>
      </c>
      <c r="AH604">
        <v>29</v>
      </c>
      <c r="AI604">
        <v>29</v>
      </c>
      <c r="AJ604">
        <v>0</v>
      </c>
      <c r="AK604">
        <v>8</v>
      </c>
      <c r="AL604" t="s">
        <v>781</v>
      </c>
      <c r="AM604" t="s">
        <v>111</v>
      </c>
      <c r="AN604" t="s">
        <v>782</v>
      </c>
      <c r="AO604" t="s">
        <v>1025</v>
      </c>
      <c r="AP604" t="s">
        <v>1026</v>
      </c>
      <c r="AQ604" t="s">
        <v>74</v>
      </c>
      <c r="AR604" t="s">
        <v>1015</v>
      </c>
      <c r="AS604" t="s">
        <v>1027</v>
      </c>
      <c r="AT604" t="s">
        <v>7995</v>
      </c>
      <c r="AU604">
        <v>2003</v>
      </c>
      <c r="AV604">
        <v>366</v>
      </c>
      <c r="AW604" t="s">
        <v>787</v>
      </c>
      <c r="AX604" t="s">
        <v>74</v>
      </c>
      <c r="AY604" t="s">
        <v>74</v>
      </c>
      <c r="AZ604" t="s">
        <v>74</v>
      </c>
      <c r="BA604" t="s">
        <v>74</v>
      </c>
      <c r="BB604">
        <v>55</v>
      </c>
      <c r="BC604">
        <v>81</v>
      </c>
      <c r="BD604" t="s">
        <v>74</v>
      </c>
      <c r="BE604" t="s">
        <v>8741</v>
      </c>
      <c r="BF604" t="str">
        <f>HYPERLINK("http://dx.doi.org/10.1016/S0040-1951(03)00060-X","http://dx.doi.org/10.1016/S0040-1951(03)00060-X")</f>
        <v>http://dx.doi.org/10.1016/S0040-1951(03)00060-X</v>
      </c>
      <c r="BG604" t="s">
        <v>74</v>
      </c>
      <c r="BH604" t="s">
        <v>74</v>
      </c>
      <c r="BI604">
        <v>27</v>
      </c>
      <c r="BJ604" t="s">
        <v>176</v>
      </c>
      <c r="BK604" t="s">
        <v>94</v>
      </c>
      <c r="BL604" t="s">
        <v>176</v>
      </c>
      <c r="BM604" t="s">
        <v>8742</v>
      </c>
      <c r="BN604" t="s">
        <v>74</v>
      </c>
      <c r="BO604" t="s">
        <v>74</v>
      </c>
      <c r="BP604" t="s">
        <v>74</v>
      </c>
      <c r="BQ604" t="s">
        <v>74</v>
      </c>
      <c r="BR604" t="s">
        <v>97</v>
      </c>
      <c r="BS604" t="s">
        <v>8743</v>
      </c>
      <c r="BT604" t="str">
        <f>HYPERLINK("https%3A%2F%2Fwww.webofscience.com%2Fwos%2Fwoscc%2Ffull-record%2FWOS:000182950400002","View Full Record in Web of Science")</f>
        <v>View Full Record in Web of Science</v>
      </c>
    </row>
    <row r="605" spans="1:72" x14ac:dyDescent="0.15">
      <c r="A605" t="s">
        <v>72</v>
      </c>
      <c r="B605" t="s">
        <v>8744</v>
      </c>
      <c r="C605" t="s">
        <v>74</v>
      </c>
      <c r="D605" t="s">
        <v>74</v>
      </c>
      <c r="E605" t="s">
        <v>74</v>
      </c>
      <c r="F605" t="s">
        <v>8744</v>
      </c>
      <c r="G605" t="s">
        <v>74</v>
      </c>
      <c r="H605" t="s">
        <v>74</v>
      </c>
      <c r="I605" t="s">
        <v>8745</v>
      </c>
      <c r="J605" t="s">
        <v>530</v>
      </c>
      <c r="K605" t="s">
        <v>74</v>
      </c>
      <c r="L605" t="s">
        <v>74</v>
      </c>
      <c r="M605" t="s">
        <v>77</v>
      </c>
      <c r="N605" t="s">
        <v>78</v>
      </c>
      <c r="O605" t="s">
        <v>74</v>
      </c>
      <c r="P605" t="s">
        <v>74</v>
      </c>
      <c r="Q605" t="s">
        <v>74</v>
      </c>
      <c r="R605" t="s">
        <v>74</v>
      </c>
      <c r="S605" t="s">
        <v>74</v>
      </c>
      <c r="T605" t="s">
        <v>74</v>
      </c>
      <c r="U605" t="s">
        <v>8603</v>
      </c>
      <c r="V605" t="s">
        <v>8746</v>
      </c>
      <c r="W605" t="s">
        <v>8747</v>
      </c>
      <c r="X605" t="s">
        <v>8748</v>
      </c>
      <c r="Y605" t="s">
        <v>8749</v>
      </c>
      <c r="Z605" t="s">
        <v>74</v>
      </c>
      <c r="AA605" t="s">
        <v>74</v>
      </c>
      <c r="AB605" t="s">
        <v>74</v>
      </c>
      <c r="AC605" t="s">
        <v>74</v>
      </c>
      <c r="AD605" t="s">
        <v>74</v>
      </c>
      <c r="AE605" t="s">
        <v>74</v>
      </c>
      <c r="AF605" t="s">
        <v>74</v>
      </c>
      <c r="AG605">
        <v>9</v>
      </c>
      <c r="AH605">
        <v>52</v>
      </c>
      <c r="AI605">
        <v>61</v>
      </c>
      <c r="AJ605">
        <v>2</v>
      </c>
      <c r="AK605">
        <v>6</v>
      </c>
      <c r="AL605" t="s">
        <v>539</v>
      </c>
      <c r="AM605" t="s">
        <v>540</v>
      </c>
      <c r="AN605" t="s">
        <v>541</v>
      </c>
      <c r="AO605" t="s">
        <v>542</v>
      </c>
      <c r="AP605" t="s">
        <v>74</v>
      </c>
      <c r="AQ605" t="s">
        <v>74</v>
      </c>
      <c r="AR605" t="s">
        <v>544</v>
      </c>
      <c r="AS605" t="s">
        <v>545</v>
      </c>
      <c r="AT605" t="s">
        <v>8750</v>
      </c>
      <c r="AU605">
        <v>2003</v>
      </c>
      <c r="AV605">
        <v>30</v>
      </c>
      <c r="AW605">
        <v>8</v>
      </c>
      <c r="AX605" t="s">
        <v>74</v>
      </c>
      <c r="AY605" t="s">
        <v>74</v>
      </c>
      <c r="AZ605" t="s">
        <v>74</v>
      </c>
      <c r="BA605" t="s">
        <v>74</v>
      </c>
      <c r="BB605" t="s">
        <v>74</v>
      </c>
      <c r="BC605" t="s">
        <v>74</v>
      </c>
      <c r="BD605">
        <v>1444</v>
      </c>
      <c r="BE605" t="s">
        <v>8751</v>
      </c>
      <c r="BF605" t="str">
        <f>HYPERLINK("http://dx.doi.org/10.1029/2003GL017210","http://dx.doi.org/10.1029/2003GL017210")</f>
        <v>http://dx.doi.org/10.1029/2003GL017210</v>
      </c>
      <c r="BG605" t="s">
        <v>74</v>
      </c>
      <c r="BH605" t="s">
        <v>74</v>
      </c>
      <c r="BI605">
        <v>4</v>
      </c>
      <c r="BJ605" t="s">
        <v>548</v>
      </c>
      <c r="BK605" t="s">
        <v>94</v>
      </c>
      <c r="BL605" t="s">
        <v>549</v>
      </c>
      <c r="BM605" t="s">
        <v>8752</v>
      </c>
      <c r="BN605" t="s">
        <v>74</v>
      </c>
      <c r="BO605" t="s">
        <v>74</v>
      </c>
      <c r="BP605" t="s">
        <v>74</v>
      </c>
      <c r="BQ605" t="s">
        <v>74</v>
      </c>
      <c r="BR605" t="s">
        <v>97</v>
      </c>
      <c r="BS605" t="s">
        <v>8753</v>
      </c>
      <c r="BT605" t="str">
        <f>HYPERLINK("https%3A%2F%2Fwww.webofscience.com%2Fwos%2Fwoscc%2Ffull-record%2FWOS:000182857800005","View Full Record in Web of Science")</f>
        <v>View Full Record in Web of Science</v>
      </c>
    </row>
    <row r="606" spans="1:72" x14ac:dyDescent="0.15">
      <c r="A606" t="s">
        <v>72</v>
      </c>
      <c r="B606" t="s">
        <v>8754</v>
      </c>
      <c r="C606" t="s">
        <v>74</v>
      </c>
      <c r="D606" t="s">
        <v>74</v>
      </c>
      <c r="E606" t="s">
        <v>74</v>
      </c>
      <c r="F606" t="s">
        <v>8754</v>
      </c>
      <c r="G606" t="s">
        <v>74</v>
      </c>
      <c r="H606" t="s">
        <v>74</v>
      </c>
      <c r="I606" t="s">
        <v>8755</v>
      </c>
      <c r="J606" t="s">
        <v>665</v>
      </c>
      <c r="K606" t="s">
        <v>74</v>
      </c>
      <c r="L606" t="s">
        <v>74</v>
      </c>
      <c r="M606" t="s">
        <v>77</v>
      </c>
      <c r="N606" t="s">
        <v>78</v>
      </c>
      <c r="O606" t="s">
        <v>74</v>
      </c>
      <c r="P606" t="s">
        <v>74</v>
      </c>
      <c r="Q606" t="s">
        <v>74</v>
      </c>
      <c r="R606" t="s">
        <v>74</v>
      </c>
      <c r="S606" t="s">
        <v>74</v>
      </c>
      <c r="T606" t="s">
        <v>8756</v>
      </c>
      <c r="U606" t="s">
        <v>8757</v>
      </c>
      <c r="V606" t="s">
        <v>8758</v>
      </c>
      <c r="W606" t="s">
        <v>8759</v>
      </c>
      <c r="X606" t="s">
        <v>8760</v>
      </c>
      <c r="Y606" t="s">
        <v>8761</v>
      </c>
      <c r="Z606" t="s">
        <v>8762</v>
      </c>
      <c r="AA606" t="s">
        <v>74</v>
      </c>
      <c r="AB606" t="s">
        <v>74</v>
      </c>
      <c r="AC606" t="s">
        <v>74</v>
      </c>
      <c r="AD606" t="s">
        <v>74</v>
      </c>
      <c r="AE606" t="s">
        <v>74</v>
      </c>
      <c r="AF606" t="s">
        <v>74</v>
      </c>
      <c r="AG606">
        <v>55</v>
      </c>
      <c r="AH606">
        <v>28</v>
      </c>
      <c r="AI606">
        <v>31</v>
      </c>
      <c r="AJ606">
        <v>1</v>
      </c>
      <c r="AK606">
        <v>9</v>
      </c>
      <c r="AL606" t="s">
        <v>539</v>
      </c>
      <c r="AM606" t="s">
        <v>540</v>
      </c>
      <c r="AN606" t="s">
        <v>541</v>
      </c>
      <c r="AO606" t="s">
        <v>672</v>
      </c>
      <c r="AP606" t="s">
        <v>673</v>
      </c>
      <c r="AQ606" t="s">
        <v>74</v>
      </c>
      <c r="AR606" t="s">
        <v>674</v>
      </c>
      <c r="AS606" t="s">
        <v>675</v>
      </c>
      <c r="AT606" t="s">
        <v>8750</v>
      </c>
      <c r="AU606">
        <v>2003</v>
      </c>
      <c r="AV606">
        <v>108</v>
      </c>
      <c r="AW606" t="s">
        <v>8763</v>
      </c>
      <c r="AX606" t="s">
        <v>74</v>
      </c>
      <c r="AY606" t="s">
        <v>74</v>
      </c>
      <c r="AZ606" t="s">
        <v>74</v>
      </c>
      <c r="BA606" t="s">
        <v>74</v>
      </c>
      <c r="BB606" t="s">
        <v>74</v>
      </c>
      <c r="BC606" t="s">
        <v>74</v>
      </c>
      <c r="BD606">
        <v>8083</v>
      </c>
      <c r="BE606" t="s">
        <v>8764</v>
      </c>
      <c r="BF606" t="str">
        <f>HYPERLINK("http://dx.doi.org/10.1029/2000JC000538","http://dx.doi.org/10.1029/2000JC000538")</f>
        <v>http://dx.doi.org/10.1029/2000JC000538</v>
      </c>
      <c r="BG606" t="s">
        <v>74</v>
      </c>
      <c r="BH606" t="s">
        <v>74</v>
      </c>
      <c r="BI606">
        <v>20</v>
      </c>
      <c r="BJ606" t="s">
        <v>678</v>
      </c>
      <c r="BK606" t="s">
        <v>94</v>
      </c>
      <c r="BL606" t="s">
        <v>678</v>
      </c>
      <c r="BM606" t="s">
        <v>8765</v>
      </c>
      <c r="BN606" t="s">
        <v>74</v>
      </c>
      <c r="BO606" t="s">
        <v>96</v>
      </c>
      <c r="BP606" t="s">
        <v>74</v>
      </c>
      <c r="BQ606" t="s">
        <v>74</v>
      </c>
      <c r="BR606" t="s">
        <v>97</v>
      </c>
      <c r="BS606" t="s">
        <v>8766</v>
      </c>
      <c r="BT606" t="str">
        <f>HYPERLINK("https%3A%2F%2Fwww.webofscience.com%2Fwos%2Fwoscc%2Ffull-record%2FWOS:000182862200003","View Full Record in Web of Science")</f>
        <v>View Full Record in Web of Science</v>
      </c>
    </row>
    <row r="607" spans="1:72" x14ac:dyDescent="0.15">
      <c r="A607" t="s">
        <v>72</v>
      </c>
      <c r="B607" t="s">
        <v>8767</v>
      </c>
      <c r="C607" t="s">
        <v>74</v>
      </c>
      <c r="D607" t="s">
        <v>74</v>
      </c>
      <c r="E607" t="s">
        <v>74</v>
      </c>
      <c r="F607" t="s">
        <v>8767</v>
      </c>
      <c r="G607" t="s">
        <v>74</v>
      </c>
      <c r="H607" t="s">
        <v>74</v>
      </c>
      <c r="I607" t="s">
        <v>8768</v>
      </c>
      <c r="J607" t="s">
        <v>665</v>
      </c>
      <c r="K607" t="s">
        <v>74</v>
      </c>
      <c r="L607" t="s">
        <v>74</v>
      </c>
      <c r="M607" t="s">
        <v>77</v>
      </c>
      <c r="N607" t="s">
        <v>78</v>
      </c>
      <c r="O607" t="s">
        <v>74</v>
      </c>
      <c r="P607" t="s">
        <v>74</v>
      </c>
      <c r="Q607" t="s">
        <v>74</v>
      </c>
      <c r="R607" t="s">
        <v>74</v>
      </c>
      <c r="S607" t="s">
        <v>74</v>
      </c>
      <c r="T607" t="s">
        <v>8769</v>
      </c>
      <c r="U607" t="s">
        <v>8770</v>
      </c>
      <c r="V607" t="s">
        <v>8771</v>
      </c>
      <c r="W607" t="s">
        <v>8772</v>
      </c>
      <c r="X607" t="s">
        <v>706</v>
      </c>
      <c r="Y607" t="s">
        <v>8773</v>
      </c>
      <c r="Z607" t="s">
        <v>8774</v>
      </c>
      <c r="AA607" t="s">
        <v>8775</v>
      </c>
      <c r="AB607" t="s">
        <v>8776</v>
      </c>
      <c r="AC607" t="s">
        <v>74</v>
      </c>
      <c r="AD607" t="s">
        <v>74</v>
      </c>
      <c r="AE607" t="s">
        <v>74</v>
      </c>
      <c r="AF607" t="s">
        <v>74</v>
      </c>
      <c r="AG607">
        <v>41</v>
      </c>
      <c r="AH607">
        <v>13</v>
      </c>
      <c r="AI607">
        <v>14</v>
      </c>
      <c r="AJ607">
        <v>1</v>
      </c>
      <c r="AK607">
        <v>11</v>
      </c>
      <c r="AL607" t="s">
        <v>539</v>
      </c>
      <c r="AM607" t="s">
        <v>540</v>
      </c>
      <c r="AN607" t="s">
        <v>541</v>
      </c>
      <c r="AO607" t="s">
        <v>672</v>
      </c>
      <c r="AP607" t="s">
        <v>673</v>
      </c>
      <c r="AQ607" t="s">
        <v>74</v>
      </c>
      <c r="AR607" t="s">
        <v>674</v>
      </c>
      <c r="AS607" t="s">
        <v>675</v>
      </c>
      <c r="AT607" t="s">
        <v>8750</v>
      </c>
      <c r="AU607">
        <v>2003</v>
      </c>
      <c r="AV607">
        <v>108</v>
      </c>
      <c r="AW607" t="s">
        <v>8763</v>
      </c>
      <c r="AX607" t="s">
        <v>74</v>
      </c>
      <c r="AY607" t="s">
        <v>74</v>
      </c>
      <c r="AZ607" t="s">
        <v>74</v>
      </c>
      <c r="BA607" t="s">
        <v>74</v>
      </c>
      <c r="BB607" t="s">
        <v>74</v>
      </c>
      <c r="BC607" t="s">
        <v>74</v>
      </c>
      <c r="BD607">
        <v>8082</v>
      </c>
      <c r="BE607" t="s">
        <v>8777</v>
      </c>
      <c r="BF607" t="str">
        <f>HYPERLINK("http://dx.doi.org/10.1029/2000JC000425","http://dx.doi.org/10.1029/2000JC000425")</f>
        <v>http://dx.doi.org/10.1029/2000JC000425</v>
      </c>
      <c r="BG607" t="s">
        <v>74</v>
      </c>
      <c r="BH607" t="s">
        <v>74</v>
      </c>
      <c r="BI607">
        <v>13</v>
      </c>
      <c r="BJ607" t="s">
        <v>678</v>
      </c>
      <c r="BK607" t="s">
        <v>94</v>
      </c>
      <c r="BL607" t="s">
        <v>678</v>
      </c>
      <c r="BM607" t="s">
        <v>8765</v>
      </c>
      <c r="BN607" t="s">
        <v>74</v>
      </c>
      <c r="BO607" t="s">
        <v>628</v>
      </c>
      <c r="BP607" t="s">
        <v>74</v>
      </c>
      <c r="BQ607" t="s">
        <v>74</v>
      </c>
      <c r="BR607" t="s">
        <v>97</v>
      </c>
      <c r="BS607" t="s">
        <v>8778</v>
      </c>
      <c r="BT607" t="str">
        <f>HYPERLINK("https%3A%2F%2Fwww.webofscience.com%2Fwos%2Fwoscc%2Ffull-record%2FWOS:000182862200001","View Full Record in Web of Science")</f>
        <v>View Full Record in Web of Science</v>
      </c>
    </row>
    <row r="608" spans="1:72" x14ac:dyDescent="0.15">
      <c r="A608" t="s">
        <v>72</v>
      </c>
      <c r="B608" t="s">
        <v>8779</v>
      </c>
      <c r="C608" t="s">
        <v>74</v>
      </c>
      <c r="D608" t="s">
        <v>74</v>
      </c>
      <c r="E608" t="s">
        <v>74</v>
      </c>
      <c r="F608" t="s">
        <v>8779</v>
      </c>
      <c r="G608" t="s">
        <v>74</v>
      </c>
      <c r="H608" t="s">
        <v>74</v>
      </c>
      <c r="I608" t="s">
        <v>8780</v>
      </c>
      <c r="J608" t="s">
        <v>728</v>
      </c>
      <c r="K608" t="s">
        <v>74</v>
      </c>
      <c r="L608" t="s">
        <v>74</v>
      </c>
      <c r="M608" t="s">
        <v>77</v>
      </c>
      <c r="N608" t="s">
        <v>556</v>
      </c>
      <c r="O608" t="s">
        <v>74</v>
      </c>
      <c r="P608" t="s">
        <v>74</v>
      </c>
      <c r="Q608" t="s">
        <v>74</v>
      </c>
      <c r="R608" t="s">
        <v>74</v>
      </c>
      <c r="S608" t="s">
        <v>74</v>
      </c>
      <c r="T608" t="s">
        <v>8781</v>
      </c>
      <c r="U608" t="s">
        <v>8782</v>
      </c>
      <c r="V608" t="s">
        <v>8783</v>
      </c>
      <c r="W608" t="s">
        <v>8784</v>
      </c>
      <c r="X608" t="s">
        <v>8785</v>
      </c>
      <c r="Y608" t="s">
        <v>8786</v>
      </c>
      <c r="Z608" t="s">
        <v>8787</v>
      </c>
      <c r="AA608" t="s">
        <v>8788</v>
      </c>
      <c r="AB608" t="s">
        <v>8789</v>
      </c>
      <c r="AC608" t="s">
        <v>74</v>
      </c>
      <c r="AD608" t="s">
        <v>74</v>
      </c>
      <c r="AE608" t="s">
        <v>74</v>
      </c>
      <c r="AF608" t="s">
        <v>74</v>
      </c>
      <c r="AG608">
        <v>100</v>
      </c>
      <c r="AH608">
        <v>61</v>
      </c>
      <c r="AI608">
        <v>68</v>
      </c>
      <c r="AJ608">
        <v>0</v>
      </c>
      <c r="AK608">
        <v>12</v>
      </c>
      <c r="AL608" t="s">
        <v>539</v>
      </c>
      <c r="AM608" t="s">
        <v>540</v>
      </c>
      <c r="AN608" t="s">
        <v>541</v>
      </c>
      <c r="AO608" t="s">
        <v>736</v>
      </c>
      <c r="AP608" t="s">
        <v>737</v>
      </c>
      <c r="AQ608" t="s">
        <v>74</v>
      </c>
      <c r="AR608" t="s">
        <v>738</v>
      </c>
      <c r="AS608" t="s">
        <v>739</v>
      </c>
      <c r="AT608" t="s">
        <v>8750</v>
      </c>
      <c r="AU608">
        <v>2003</v>
      </c>
      <c r="AV608">
        <v>108</v>
      </c>
      <c r="AW608" t="s">
        <v>8790</v>
      </c>
      <c r="AX608" t="s">
        <v>74</v>
      </c>
      <c r="AY608" t="s">
        <v>74</v>
      </c>
      <c r="AZ608" t="s">
        <v>74</v>
      </c>
      <c r="BA608" t="s">
        <v>74</v>
      </c>
      <c r="BB608" t="s">
        <v>74</v>
      </c>
      <c r="BC608" t="s">
        <v>74</v>
      </c>
      <c r="BD608">
        <v>2223</v>
      </c>
      <c r="BE608" t="s">
        <v>8791</v>
      </c>
      <c r="BF608" t="str">
        <f>HYPERLINK("http://dx.doi.org/10.1029/2002JB001936","http://dx.doi.org/10.1029/2002JB001936")</f>
        <v>http://dx.doi.org/10.1029/2002JB001936</v>
      </c>
      <c r="BG608" t="s">
        <v>74</v>
      </c>
      <c r="BH608" t="s">
        <v>74</v>
      </c>
      <c r="BI608">
        <v>16</v>
      </c>
      <c r="BJ608" t="s">
        <v>176</v>
      </c>
      <c r="BK608" t="s">
        <v>94</v>
      </c>
      <c r="BL608" t="s">
        <v>176</v>
      </c>
      <c r="BM608" t="s">
        <v>8792</v>
      </c>
      <c r="BN608" t="s">
        <v>74</v>
      </c>
      <c r="BO608" t="s">
        <v>96</v>
      </c>
      <c r="BP608" t="s">
        <v>74</v>
      </c>
      <c r="BQ608" t="s">
        <v>74</v>
      </c>
      <c r="BR608" t="s">
        <v>97</v>
      </c>
      <c r="BS608" t="s">
        <v>8793</v>
      </c>
      <c r="BT608" t="str">
        <f>HYPERLINK("https%3A%2F%2Fwww.webofscience.com%2Fwos%2Fwoscc%2Ffull-record%2FWOS:000182863600002","View Full Record in Web of Science")</f>
        <v>View Full Record in Web of Science</v>
      </c>
    </row>
    <row r="609" spans="1:72" x14ac:dyDescent="0.15">
      <c r="A609" t="s">
        <v>72</v>
      </c>
      <c r="B609" t="s">
        <v>8794</v>
      </c>
      <c r="C609" t="s">
        <v>74</v>
      </c>
      <c r="D609" t="s">
        <v>74</v>
      </c>
      <c r="E609" t="s">
        <v>74</v>
      </c>
      <c r="F609" t="s">
        <v>8794</v>
      </c>
      <c r="G609" t="s">
        <v>74</v>
      </c>
      <c r="H609" t="s">
        <v>74</v>
      </c>
      <c r="I609" t="s">
        <v>8795</v>
      </c>
      <c r="J609" t="s">
        <v>728</v>
      </c>
      <c r="K609" t="s">
        <v>74</v>
      </c>
      <c r="L609" t="s">
        <v>74</v>
      </c>
      <c r="M609" t="s">
        <v>77</v>
      </c>
      <c r="N609" t="s">
        <v>78</v>
      </c>
      <c r="O609" t="s">
        <v>74</v>
      </c>
      <c r="P609" t="s">
        <v>74</v>
      </c>
      <c r="Q609" t="s">
        <v>74</v>
      </c>
      <c r="R609" t="s">
        <v>74</v>
      </c>
      <c r="S609" t="s">
        <v>74</v>
      </c>
      <c r="T609" t="s">
        <v>8796</v>
      </c>
      <c r="U609" t="s">
        <v>8797</v>
      </c>
      <c r="V609" t="s">
        <v>8798</v>
      </c>
      <c r="W609" t="s">
        <v>8799</v>
      </c>
      <c r="X609" t="s">
        <v>8800</v>
      </c>
      <c r="Y609" t="s">
        <v>8801</v>
      </c>
      <c r="Z609" t="s">
        <v>8802</v>
      </c>
      <c r="AA609" t="s">
        <v>8803</v>
      </c>
      <c r="AB609" t="s">
        <v>8804</v>
      </c>
      <c r="AC609" t="s">
        <v>74</v>
      </c>
      <c r="AD609" t="s">
        <v>74</v>
      </c>
      <c r="AE609" t="s">
        <v>74</v>
      </c>
      <c r="AF609" t="s">
        <v>74</v>
      </c>
      <c r="AG609">
        <v>89</v>
      </c>
      <c r="AH609">
        <v>87</v>
      </c>
      <c r="AI609">
        <v>94</v>
      </c>
      <c r="AJ609">
        <v>3</v>
      </c>
      <c r="AK609">
        <v>19</v>
      </c>
      <c r="AL609" t="s">
        <v>539</v>
      </c>
      <c r="AM609" t="s">
        <v>540</v>
      </c>
      <c r="AN609" t="s">
        <v>541</v>
      </c>
      <c r="AO609" t="s">
        <v>736</v>
      </c>
      <c r="AP609" t="s">
        <v>737</v>
      </c>
      <c r="AQ609" t="s">
        <v>74</v>
      </c>
      <c r="AR609" t="s">
        <v>738</v>
      </c>
      <c r="AS609" t="s">
        <v>739</v>
      </c>
      <c r="AT609" t="s">
        <v>8750</v>
      </c>
      <c r="AU609">
        <v>2003</v>
      </c>
      <c r="AV609">
        <v>108</v>
      </c>
      <c r="AW609" t="s">
        <v>8790</v>
      </c>
      <c r="AX609" t="s">
        <v>74</v>
      </c>
      <c r="AY609" t="s">
        <v>74</v>
      </c>
      <c r="AZ609" t="s">
        <v>74</v>
      </c>
      <c r="BA609" t="s">
        <v>74</v>
      </c>
      <c r="BB609" t="s">
        <v>74</v>
      </c>
      <c r="BC609" t="s">
        <v>74</v>
      </c>
      <c r="BD609">
        <v>2222</v>
      </c>
      <c r="BE609" t="s">
        <v>8805</v>
      </c>
      <c r="BF609" t="str">
        <f>HYPERLINK("http://dx.doi.org/10.1029/2002JB001935","http://dx.doi.org/10.1029/2002JB001935")</f>
        <v>http://dx.doi.org/10.1029/2002JB001935</v>
      </c>
      <c r="BG609" t="s">
        <v>74</v>
      </c>
      <c r="BH609" t="s">
        <v>74</v>
      </c>
      <c r="BI609">
        <v>16</v>
      </c>
      <c r="BJ609" t="s">
        <v>176</v>
      </c>
      <c r="BK609" t="s">
        <v>94</v>
      </c>
      <c r="BL609" t="s">
        <v>176</v>
      </c>
      <c r="BM609" t="s">
        <v>8792</v>
      </c>
      <c r="BN609" t="s">
        <v>74</v>
      </c>
      <c r="BO609" t="s">
        <v>96</v>
      </c>
      <c r="BP609" t="s">
        <v>74</v>
      </c>
      <c r="BQ609" t="s">
        <v>74</v>
      </c>
      <c r="BR609" t="s">
        <v>97</v>
      </c>
      <c r="BS609" t="s">
        <v>8806</v>
      </c>
      <c r="BT609" t="str">
        <f>HYPERLINK("https%3A%2F%2Fwww.webofscience.com%2Fwos%2Fwoscc%2Ffull-record%2FWOS:000182863600001","View Full Record in Web of Science")</f>
        <v>View Full Record in Web of Science</v>
      </c>
    </row>
    <row r="610" spans="1:72" x14ac:dyDescent="0.15">
      <c r="A610" t="s">
        <v>72</v>
      </c>
      <c r="B610" t="s">
        <v>8807</v>
      </c>
      <c r="C610" t="s">
        <v>74</v>
      </c>
      <c r="D610" t="s">
        <v>74</v>
      </c>
      <c r="E610" t="s">
        <v>74</v>
      </c>
      <c r="F610" t="s">
        <v>8807</v>
      </c>
      <c r="G610" t="s">
        <v>74</v>
      </c>
      <c r="H610" t="s">
        <v>74</v>
      </c>
      <c r="I610" t="s">
        <v>8808</v>
      </c>
      <c r="J610" t="s">
        <v>8809</v>
      </c>
      <c r="K610" t="s">
        <v>74</v>
      </c>
      <c r="L610" t="s">
        <v>74</v>
      </c>
      <c r="M610" t="s">
        <v>77</v>
      </c>
      <c r="N610" t="s">
        <v>78</v>
      </c>
      <c r="O610" t="s">
        <v>74</v>
      </c>
      <c r="P610" t="s">
        <v>74</v>
      </c>
      <c r="Q610" t="s">
        <v>74</v>
      </c>
      <c r="R610" t="s">
        <v>74</v>
      </c>
      <c r="S610" t="s">
        <v>74</v>
      </c>
      <c r="T610" t="s">
        <v>8810</v>
      </c>
      <c r="U610" t="s">
        <v>8811</v>
      </c>
      <c r="V610" t="s">
        <v>8812</v>
      </c>
      <c r="W610" t="s">
        <v>8813</v>
      </c>
      <c r="X610" t="s">
        <v>8814</v>
      </c>
      <c r="Y610" t="s">
        <v>8815</v>
      </c>
      <c r="Z610" t="s">
        <v>8816</v>
      </c>
      <c r="AA610" t="s">
        <v>8817</v>
      </c>
      <c r="AB610" t="s">
        <v>8818</v>
      </c>
      <c r="AC610" t="s">
        <v>74</v>
      </c>
      <c r="AD610" t="s">
        <v>74</v>
      </c>
      <c r="AE610" t="s">
        <v>74</v>
      </c>
      <c r="AF610" t="s">
        <v>74</v>
      </c>
      <c r="AG610">
        <v>72</v>
      </c>
      <c r="AH610">
        <v>45</v>
      </c>
      <c r="AI610">
        <v>46</v>
      </c>
      <c r="AJ610">
        <v>0</v>
      </c>
      <c r="AK610">
        <v>8</v>
      </c>
      <c r="AL610" t="s">
        <v>539</v>
      </c>
      <c r="AM610" t="s">
        <v>540</v>
      </c>
      <c r="AN610" t="s">
        <v>541</v>
      </c>
      <c r="AO610" t="s">
        <v>8819</v>
      </c>
      <c r="AP610" t="s">
        <v>8820</v>
      </c>
      <c r="AQ610" t="s">
        <v>74</v>
      </c>
      <c r="AR610" t="s">
        <v>8809</v>
      </c>
      <c r="AS610" t="s">
        <v>8821</v>
      </c>
      <c r="AT610" t="s">
        <v>8750</v>
      </c>
      <c r="AU610">
        <v>2003</v>
      </c>
      <c r="AV610">
        <v>22</v>
      </c>
      <c r="AW610">
        <v>2</v>
      </c>
      <c r="AX610" t="s">
        <v>74</v>
      </c>
      <c r="AY610" t="s">
        <v>74</v>
      </c>
      <c r="AZ610" t="s">
        <v>74</v>
      </c>
      <c r="BA610" t="s">
        <v>74</v>
      </c>
      <c r="BB610" t="s">
        <v>74</v>
      </c>
      <c r="BC610" t="s">
        <v>74</v>
      </c>
      <c r="BD610">
        <v>1016</v>
      </c>
      <c r="BE610" t="s">
        <v>8822</v>
      </c>
      <c r="BF610" t="str">
        <f>HYPERLINK("http://dx.doi.org/10.1029/2002TC001416","http://dx.doi.org/10.1029/2002TC001416")</f>
        <v>http://dx.doi.org/10.1029/2002TC001416</v>
      </c>
      <c r="BG610" t="s">
        <v>74</v>
      </c>
      <c r="BH610" t="s">
        <v>74</v>
      </c>
      <c r="BI610">
        <v>18</v>
      </c>
      <c r="BJ610" t="s">
        <v>176</v>
      </c>
      <c r="BK610" t="s">
        <v>94</v>
      </c>
      <c r="BL610" t="s">
        <v>176</v>
      </c>
      <c r="BM610" t="s">
        <v>8823</v>
      </c>
      <c r="BN610" t="s">
        <v>74</v>
      </c>
      <c r="BO610" t="s">
        <v>74</v>
      </c>
      <c r="BP610" t="s">
        <v>74</v>
      </c>
      <c r="BQ610" t="s">
        <v>74</v>
      </c>
      <c r="BR610" t="s">
        <v>97</v>
      </c>
      <c r="BS610" t="s">
        <v>8824</v>
      </c>
      <c r="BT610" t="str">
        <f>HYPERLINK("https%3A%2F%2Fwww.webofscience.com%2Fwos%2Fwoscc%2Ffull-record%2FWOS:000182867300002","View Full Record in Web of Science")</f>
        <v>View Full Record in Web of Science</v>
      </c>
    </row>
    <row r="611" spans="1:72" x14ac:dyDescent="0.15">
      <c r="A611" t="s">
        <v>72</v>
      </c>
      <c r="B611" t="s">
        <v>8825</v>
      </c>
      <c r="C611" t="s">
        <v>74</v>
      </c>
      <c r="D611" t="s">
        <v>74</v>
      </c>
      <c r="E611" t="s">
        <v>74</v>
      </c>
      <c r="F611" t="s">
        <v>8825</v>
      </c>
      <c r="G611" t="s">
        <v>74</v>
      </c>
      <c r="H611" t="s">
        <v>74</v>
      </c>
      <c r="I611" t="s">
        <v>8826</v>
      </c>
      <c r="J611" t="s">
        <v>578</v>
      </c>
      <c r="K611" t="s">
        <v>74</v>
      </c>
      <c r="L611" t="s">
        <v>74</v>
      </c>
      <c r="M611" t="s">
        <v>77</v>
      </c>
      <c r="N611" t="s">
        <v>78</v>
      </c>
      <c r="O611" t="s">
        <v>74</v>
      </c>
      <c r="P611" t="s">
        <v>74</v>
      </c>
      <c r="Q611" t="s">
        <v>74</v>
      </c>
      <c r="R611" t="s">
        <v>74</v>
      </c>
      <c r="S611" t="s">
        <v>74</v>
      </c>
      <c r="T611" t="s">
        <v>8827</v>
      </c>
      <c r="U611" t="s">
        <v>8828</v>
      </c>
      <c r="V611" t="s">
        <v>8829</v>
      </c>
      <c r="W611" t="s">
        <v>8830</v>
      </c>
      <c r="X611" t="s">
        <v>8831</v>
      </c>
      <c r="Y611" t="s">
        <v>8832</v>
      </c>
      <c r="Z611" t="s">
        <v>8833</v>
      </c>
      <c r="AA611" t="s">
        <v>74</v>
      </c>
      <c r="AB611" t="s">
        <v>74</v>
      </c>
      <c r="AC611" t="s">
        <v>74</v>
      </c>
      <c r="AD611" t="s">
        <v>74</v>
      </c>
      <c r="AE611" t="s">
        <v>74</v>
      </c>
      <c r="AF611" t="s">
        <v>74</v>
      </c>
      <c r="AG611">
        <v>26</v>
      </c>
      <c r="AH611">
        <v>20</v>
      </c>
      <c r="AI611">
        <v>21</v>
      </c>
      <c r="AJ611">
        <v>1</v>
      </c>
      <c r="AK611">
        <v>12</v>
      </c>
      <c r="AL611" t="s">
        <v>539</v>
      </c>
      <c r="AM611" t="s">
        <v>540</v>
      </c>
      <c r="AN611" t="s">
        <v>541</v>
      </c>
      <c r="AO611" t="s">
        <v>588</v>
      </c>
      <c r="AP611" t="s">
        <v>605</v>
      </c>
      <c r="AQ611" t="s">
        <v>74</v>
      </c>
      <c r="AR611" t="s">
        <v>589</v>
      </c>
      <c r="AS611" t="s">
        <v>590</v>
      </c>
      <c r="AT611" t="s">
        <v>8834</v>
      </c>
      <c r="AU611">
        <v>2003</v>
      </c>
      <c r="AV611">
        <v>108</v>
      </c>
      <c r="AW611" t="s">
        <v>8835</v>
      </c>
      <c r="AX611" t="s">
        <v>74</v>
      </c>
      <c r="AY611" t="s">
        <v>74</v>
      </c>
      <c r="AZ611" t="s">
        <v>74</v>
      </c>
      <c r="BA611" t="s">
        <v>74</v>
      </c>
      <c r="BB611" t="s">
        <v>74</v>
      </c>
      <c r="BC611" t="s">
        <v>74</v>
      </c>
      <c r="BD611">
        <v>4253</v>
      </c>
      <c r="BE611" t="s">
        <v>8836</v>
      </c>
      <c r="BF611" t="str">
        <f>HYPERLINK("http://dx.doi.org/10.1029/2002JD002063","http://dx.doi.org/10.1029/2002JD002063")</f>
        <v>http://dx.doi.org/10.1029/2002JD002063</v>
      </c>
      <c r="BG611" t="s">
        <v>74</v>
      </c>
      <c r="BH611" t="s">
        <v>74</v>
      </c>
      <c r="BI611">
        <v>14</v>
      </c>
      <c r="BJ611" t="s">
        <v>93</v>
      </c>
      <c r="BK611" t="s">
        <v>94</v>
      </c>
      <c r="BL611" t="s">
        <v>93</v>
      </c>
      <c r="BM611" t="s">
        <v>8837</v>
      </c>
      <c r="BN611" t="s">
        <v>74</v>
      </c>
      <c r="BO611" t="s">
        <v>96</v>
      </c>
      <c r="BP611" t="s">
        <v>74</v>
      </c>
      <c r="BQ611" t="s">
        <v>74</v>
      </c>
      <c r="BR611" t="s">
        <v>97</v>
      </c>
      <c r="BS611" t="s">
        <v>8838</v>
      </c>
      <c r="BT611" t="str">
        <f>HYPERLINK("https%3A%2F%2Fwww.webofscience.com%2Fwos%2Fwoscc%2Ffull-record%2FWOS:000182860600002","View Full Record in Web of Science")</f>
        <v>View Full Record in Web of Science</v>
      </c>
    </row>
    <row r="612" spans="1:72" x14ac:dyDescent="0.15">
      <c r="A612" t="s">
        <v>72</v>
      </c>
      <c r="B612" t="s">
        <v>8839</v>
      </c>
      <c r="C612" t="s">
        <v>74</v>
      </c>
      <c r="D612" t="s">
        <v>74</v>
      </c>
      <c r="E612" t="s">
        <v>74</v>
      </c>
      <c r="F612" t="s">
        <v>8839</v>
      </c>
      <c r="G612" t="s">
        <v>74</v>
      </c>
      <c r="H612" t="s">
        <v>74</v>
      </c>
      <c r="I612" t="s">
        <v>8840</v>
      </c>
      <c r="J612" t="s">
        <v>530</v>
      </c>
      <c r="K612" t="s">
        <v>74</v>
      </c>
      <c r="L612" t="s">
        <v>74</v>
      </c>
      <c r="M612" t="s">
        <v>77</v>
      </c>
      <c r="N612" t="s">
        <v>78</v>
      </c>
      <c r="O612" t="s">
        <v>74</v>
      </c>
      <c r="P612" t="s">
        <v>74</v>
      </c>
      <c r="Q612" t="s">
        <v>74</v>
      </c>
      <c r="R612" t="s">
        <v>74</v>
      </c>
      <c r="S612" t="s">
        <v>74</v>
      </c>
      <c r="T612" t="s">
        <v>74</v>
      </c>
      <c r="U612" t="s">
        <v>8841</v>
      </c>
      <c r="V612" t="s">
        <v>8842</v>
      </c>
      <c r="W612" t="s">
        <v>8843</v>
      </c>
      <c r="X612" t="s">
        <v>5256</v>
      </c>
      <c r="Y612" t="s">
        <v>8844</v>
      </c>
      <c r="Z612" t="s">
        <v>74</v>
      </c>
      <c r="AA612" t="s">
        <v>8845</v>
      </c>
      <c r="AB612" t="s">
        <v>8846</v>
      </c>
      <c r="AC612" t="s">
        <v>74</v>
      </c>
      <c r="AD612" t="s">
        <v>74</v>
      </c>
      <c r="AE612" t="s">
        <v>74</v>
      </c>
      <c r="AF612" t="s">
        <v>74</v>
      </c>
      <c r="AG612">
        <v>19</v>
      </c>
      <c r="AH612">
        <v>2</v>
      </c>
      <c r="AI612">
        <v>3</v>
      </c>
      <c r="AJ612">
        <v>2</v>
      </c>
      <c r="AK612">
        <v>4</v>
      </c>
      <c r="AL612" t="s">
        <v>539</v>
      </c>
      <c r="AM612" t="s">
        <v>540</v>
      </c>
      <c r="AN612" t="s">
        <v>541</v>
      </c>
      <c r="AO612" t="s">
        <v>542</v>
      </c>
      <c r="AP612" t="s">
        <v>74</v>
      </c>
      <c r="AQ612" t="s">
        <v>74</v>
      </c>
      <c r="AR612" t="s">
        <v>544</v>
      </c>
      <c r="AS612" t="s">
        <v>545</v>
      </c>
      <c r="AT612" t="s">
        <v>8847</v>
      </c>
      <c r="AU612">
        <v>2003</v>
      </c>
      <c r="AV612">
        <v>30</v>
      </c>
      <c r="AW612">
        <v>8</v>
      </c>
      <c r="AX612" t="s">
        <v>74</v>
      </c>
      <c r="AY612" t="s">
        <v>74</v>
      </c>
      <c r="AZ612" t="s">
        <v>74</v>
      </c>
      <c r="BA612" t="s">
        <v>74</v>
      </c>
      <c r="BB612" t="s">
        <v>74</v>
      </c>
      <c r="BC612" t="s">
        <v>74</v>
      </c>
      <c r="BD612">
        <v>1433</v>
      </c>
      <c r="BE612" t="s">
        <v>8848</v>
      </c>
      <c r="BF612" t="str">
        <f>HYPERLINK("http://dx.doi.org/10.1029/2002GL016516","http://dx.doi.org/10.1029/2002GL016516")</f>
        <v>http://dx.doi.org/10.1029/2002GL016516</v>
      </c>
      <c r="BG612" t="s">
        <v>74</v>
      </c>
      <c r="BH612" t="s">
        <v>74</v>
      </c>
      <c r="BI612">
        <v>4</v>
      </c>
      <c r="BJ612" t="s">
        <v>548</v>
      </c>
      <c r="BK612" t="s">
        <v>94</v>
      </c>
      <c r="BL612" t="s">
        <v>549</v>
      </c>
      <c r="BM612" t="s">
        <v>8849</v>
      </c>
      <c r="BN612" t="s">
        <v>74</v>
      </c>
      <c r="BO612" t="s">
        <v>96</v>
      </c>
      <c r="BP612" t="s">
        <v>74</v>
      </c>
      <c r="BQ612" t="s">
        <v>74</v>
      </c>
      <c r="BR612" t="s">
        <v>97</v>
      </c>
      <c r="BS612" t="s">
        <v>8850</v>
      </c>
      <c r="BT612" t="str">
        <f>HYPERLINK("https%3A%2F%2Fwww.webofscience.com%2Fwos%2Fwoscc%2Ffull-record%2FWOS:000182841700001","View Full Record in Web of Science")</f>
        <v>View Full Record in Web of Science</v>
      </c>
    </row>
    <row r="613" spans="1:72" x14ac:dyDescent="0.15">
      <c r="A613" t="s">
        <v>72</v>
      </c>
      <c r="B613" t="s">
        <v>8851</v>
      </c>
      <c r="C613" t="s">
        <v>74</v>
      </c>
      <c r="D613" t="s">
        <v>74</v>
      </c>
      <c r="E613" t="s">
        <v>74</v>
      </c>
      <c r="F613" t="s">
        <v>8851</v>
      </c>
      <c r="G613" t="s">
        <v>74</v>
      </c>
      <c r="H613" t="s">
        <v>74</v>
      </c>
      <c r="I613" t="s">
        <v>8852</v>
      </c>
      <c r="J613" t="s">
        <v>8853</v>
      </c>
      <c r="K613" t="s">
        <v>74</v>
      </c>
      <c r="L613" t="s">
        <v>74</v>
      </c>
      <c r="M613" t="s">
        <v>77</v>
      </c>
      <c r="N613" t="s">
        <v>78</v>
      </c>
      <c r="O613" t="s">
        <v>74</v>
      </c>
      <c r="P613" t="s">
        <v>74</v>
      </c>
      <c r="Q613" t="s">
        <v>74</v>
      </c>
      <c r="R613" t="s">
        <v>74</v>
      </c>
      <c r="S613" t="s">
        <v>74</v>
      </c>
      <c r="T613" t="s">
        <v>8854</v>
      </c>
      <c r="U613" t="s">
        <v>8855</v>
      </c>
      <c r="V613" t="s">
        <v>8856</v>
      </c>
      <c r="W613" t="s">
        <v>8857</v>
      </c>
      <c r="X613" t="s">
        <v>8858</v>
      </c>
      <c r="Y613" t="s">
        <v>8859</v>
      </c>
      <c r="Z613" t="s">
        <v>74</v>
      </c>
      <c r="AA613" t="s">
        <v>8860</v>
      </c>
      <c r="AB613" t="s">
        <v>8861</v>
      </c>
      <c r="AC613" t="s">
        <v>74</v>
      </c>
      <c r="AD613" t="s">
        <v>74</v>
      </c>
      <c r="AE613" t="s">
        <v>74</v>
      </c>
      <c r="AF613" t="s">
        <v>74</v>
      </c>
      <c r="AG613">
        <v>38</v>
      </c>
      <c r="AH613">
        <v>125</v>
      </c>
      <c r="AI613">
        <v>138</v>
      </c>
      <c r="AJ613">
        <v>1</v>
      </c>
      <c r="AK613">
        <v>18</v>
      </c>
      <c r="AL613" t="s">
        <v>3611</v>
      </c>
      <c r="AM613" t="s">
        <v>964</v>
      </c>
      <c r="AN613" t="s">
        <v>3612</v>
      </c>
      <c r="AO613" t="s">
        <v>8862</v>
      </c>
      <c r="AP613" t="s">
        <v>74</v>
      </c>
      <c r="AQ613" t="s">
        <v>74</v>
      </c>
      <c r="AR613" t="s">
        <v>8863</v>
      </c>
      <c r="AS613" t="s">
        <v>8864</v>
      </c>
      <c r="AT613" t="s">
        <v>8847</v>
      </c>
      <c r="AU613">
        <v>2003</v>
      </c>
      <c r="AV613">
        <v>328</v>
      </c>
      <c r="AW613">
        <v>2</v>
      </c>
      <c r="AX613" t="s">
        <v>74</v>
      </c>
      <c r="AY613" t="s">
        <v>74</v>
      </c>
      <c r="AZ613" t="s">
        <v>74</v>
      </c>
      <c r="BA613" t="s">
        <v>74</v>
      </c>
      <c r="BB613">
        <v>419</v>
      </c>
      <c r="BC613">
        <v>428</v>
      </c>
      <c r="BD613" t="s">
        <v>74</v>
      </c>
      <c r="BE613" t="s">
        <v>8865</v>
      </c>
      <c r="BF613" t="str">
        <f>HYPERLINK("http://dx.doi.org/10.1016/S0022-2836(03)00287-0","http://dx.doi.org/10.1016/S0022-2836(03)00287-0")</f>
        <v>http://dx.doi.org/10.1016/S0022-2836(03)00287-0</v>
      </c>
      <c r="BG613" t="s">
        <v>74</v>
      </c>
      <c r="BH613" t="s">
        <v>74</v>
      </c>
      <c r="BI613">
        <v>10</v>
      </c>
      <c r="BJ613" t="s">
        <v>2709</v>
      </c>
      <c r="BK613" t="s">
        <v>94</v>
      </c>
      <c r="BL613" t="s">
        <v>2709</v>
      </c>
      <c r="BM613" t="s">
        <v>8866</v>
      </c>
      <c r="BN613">
        <v>12691750</v>
      </c>
      <c r="BO613" t="s">
        <v>74</v>
      </c>
      <c r="BP613" t="s">
        <v>74</v>
      </c>
      <c r="BQ613" t="s">
        <v>74</v>
      </c>
      <c r="BR613" t="s">
        <v>97</v>
      </c>
      <c r="BS613" t="s">
        <v>8867</v>
      </c>
      <c r="BT613" t="str">
        <f>HYPERLINK("https%3A%2F%2Fwww.webofscience.com%2Fwos%2Fwoscc%2Ffull-record%2FWOS:000182431200009","View Full Record in Web of Science")</f>
        <v>View Full Record in Web of Science</v>
      </c>
    </row>
    <row r="614" spans="1:72" x14ac:dyDescent="0.15">
      <c r="A614" t="s">
        <v>72</v>
      </c>
      <c r="B614" t="s">
        <v>8868</v>
      </c>
      <c r="C614" t="s">
        <v>74</v>
      </c>
      <c r="D614" t="s">
        <v>74</v>
      </c>
      <c r="E614" t="s">
        <v>74</v>
      </c>
      <c r="F614" t="s">
        <v>8868</v>
      </c>
      <c r="G614" t="s">
        <v>74</v>
      </c>
      <c r="H614" t="s">
        <v>74</v>
      </c>
      <c r="I614" t="s">
        <v>8869</v>
      </c>
      <c r="J614" t="s">
        <v>665</v>
      </c>
      <c r="K614" t="s">
        <v>74</v>
      </c>
      <c r="L614" t="s">
        <v>74</v>
      </c>
      <c r="M614" t="s">
        <v>77</v>
      </c>
      <c r="N614" t="s">
        <v>78</v>
      </c>
      <c r="O614" t="s">
        <v>74</v>
      </c>
      <c r="P614" t="s">
        <v>74</v>
      </c>
      <c r="Q614" t="s">
        <v>74</v>
      </c>
      <c r="R614" t="s">
        <v>74</v>
      </c>
      <c r="S614" t="s">
        <v>74</v>
      </c>
      <c r="T614" t="s">
        <v>8870</v>
      </c>
      <c r="U614" t="s">
        <v>8871</v>
      </c>
      <c r="V614" t="s">
        <v>8872</v>
      </c>
      <c r="W614" t="s">
        <v>8873</v>
      </c>
      <c r="X614" t="s">
        <v>8874</v>
      </c>
      <c r="Y614" t="s">
        <v>8875</v>
      </c>
      <c r="Z614" t="s">
        <v>8876</v>
      </c>
      <c r="AA614" t="s">
        <v>8877</v>
      </c>
      <c r="AB614" t="s">
        <v>74</v>
      </c>
      <c r="AC614" t="s">
        <v>74</v>
      </c>
      <c r="AD614" t="s">
        <v>74</v>
      </c>
      <c r="AE614" t="s">
        <v>74</v>
      </c>
      <c r="AF614" t="s">
        <v>74</v>
      </c>
      <c r="AG614">
        <v>17</v>
      </c>
      <c r="AH614">
        <v>50</v>
      </c>
      <c r="AI614">
        <v>58</v>
      </c>
      <c r="AJ614">
        <v>1</v>
      </c>
      <c r="AK614">
        <v>2</v>
      </c>
      <c r="AL614" t="s">
        <v>539</v>
      </c>
      <c r="AM614" t="s">
        <v>540</v>
      </c>
      <c r="AN614" t="s">
        <v>541</v>
      </c>
      <c r="AO614" t="s">
        <v>672</v>
      </c>
      <c r="AP614" t="s">
        <v>673</v>
      </c>
      <c r="AQ614" t="s">
        <v>74</v>
      </c>
      <c r="AR614" t="s">
        <v>674</v>
      </c>
      <c r="AS614" t="s">
        <v>675</v>
      </c>
      <c r="AT614" t="s">
        <v>8878</v>
      </c>
      <c r="AU614">
        <v>2003</v>
      </c>
      <c r="AV614">
        <v>108</v>
      </c>
      <c r="AW614" t="s">
        <v>8763</v>
      </c>
      <c r="AX614" t="s">
        <v>74</v>
      </c>
      <c r="AY614" t="s">
        <v>74</v>
      </c>
      <c r="AZ614" t="s">
        <v>74</v>
      </c>
      <c r="BA614" t="s">
        <v>74</v>
      </c>
      <c r="BB614" t="s">
        <v>74</v>
      </c>
      <c r="BC614" t="s">
        <v>74</v>
      </c>
      <c r="BD614">
        <v>8081</v>
      </c>
      <c r="BE614" t="s">
        <v>8879</v>
      </c>
      <c r="BF614" t="str">
        <f>HYPERLINK("http://dx.doi.org/10.1029/2000JC000307","http://dx.doi.org/10.1029/2000JC000307")</f>
        <v>http://dx.doi.org/10.1029/2000JC000307</v>
      </c>
      <c r="BG614" t="s">
        <v>74</v>
      </c>
      <c r="BH614" t="s">
        <v>74</v>
      </c>
      <c r="BI614">
        <v>8</v>
      </c>
      <c r="BJ614" t="s">
        <v>678</v>
      </c>
      <c r="BK614" t="s">
        <v>94</v>
      </c>
      <c r="BL614" t="s">
        <v>678</v>
      </c>
      <c r="BM614" t="s">
        <v>8880</v>
      </c>
      <c r="BN614" t="s">
        <v>74</v>
      </c>
      <c r="BO614" t="s">
        <v>74</v>
      </c>
      <c r="BP614" t="s">
        <v>74</v>
      </c>
      <c r="BQ614" t="s">
        <v>74</v>
      </c>
      <c r="BR614" t="s">
        <v>97</v>
      </c>
      <c r="BS614" t="s">
        <v>8881</v>
      </c>
      <c r="BT614" t="str">
        <f>HYPERLINK("https%3A%2F%2Fwww.webofscience.com%2Fwos%2Fwoscc%2Ffull-record%2FWOS:000182844000001","View Full Record in Web of Science")</f>
        <v>View Full Record in Web of Science</v>
      </c>
    </row>
    <row r="615" spans="1:72" x14ac:dyDescent="0.15">
      <c r="A615" t="s">
        <v>72</v>
      </c>
      <c r="B615" t="s">
        <v>8882</v>
      </c>
      <c r="C615" t="s">
        <v>74</v>
      </c>
      <c r="D615" t="s">
        <v>74</v>
      </c>
      <c r="E615" t="s">
        <v>74</v>
      </c>
      <c r="F615" t="s">
        <v>8882</v>
      </c>
      <c r="G615" t="s">
        <v>74</v>
      </c>
      <c r="H615" t="s">
        <v>74</v>
      </c>
      <c r="I615" t="s">
        <v>8883</v>
      </c>
      <c r="J615" t="s">
        <v>2922</v>
      </c>
      <c r="K615" t="s">
        <v>74</v>
      </c>
      <c r="L615" t="s">
        <v>74</v>
      </c>
      <c r="M615" t="s">
        <v>77</v>
      </c>
      <c r="N615" t="s">
        <v>78</v>
      </c>
      <c r="O615" t="s">
        <v>74</v>
      </c>
      <c r="P615" t="s">
        <v>74</v>
      </c>
      <c r="Q615" t="s">
        <v>74</v>
      </c>
      <c r="R615" t="s">
        <v>74</v>
      </c>
      <c r="S615" t="s">
        <v>74</v>
      </c>
      <c r="T615" t="s">
        <v>8884</v>
      </c>
      <c r="U615" t="s">
        <v>8885</v>
      </c>
      <c r="V615" t="s">
        <v>8886</v>
      </c>
      <c r="W615" t="s">
        <v>8887</v>
      </c>
      <c r="X615" t="s">
        <v>8888</v>
      </c>
      <c r="Y615" t="s">
        <v>8889</v>
      </c>
      <c r="Z615" t="s">
        <v>74</v>
      </c>
      <c r="AA615" t="s">
        <v>8890</v>
      </c>
      <c r="AB615" t="s">
        <v>74</v>
      </c>
      <c r="AC615" t="s">
        <v>74</v>
      </c>
      <c r="AD615" t="s">
        <v>74</v>
      </c>
      <c r="AE615" t="s">
        <v>74</v>
      </c>
      <c r="AF615" t="s">
        <v>74</v>
      </c>
      <c r="AG615">
        <v>31</v>
      </c>
      <c r="AH615">
        <v>4</v>
      </c>
      <c r="AI615">
        <v>5</v>
      </c>
      <c r="AJ615">
        <v>0</v>
      </c>
      <c r="AK615">
        <v>4</v>
      </c>
      <c r="AL615" t="s">
        <v>110</v>
      </c>
      <c r="AM615" t="s">
        <v>111</v>
      </c>
      <c r="AN615" t="s">
        <v>112</v>
      </c>
      <c r="AO615" t="s">
        <v>2931</v>
      </c>
      <c r="AP615" t="s">
        <v>74</v>
      </c>
      <c r="AQ615" t="s">
        <v>74</v>
      </c>
      <c r="AR615" t="s">
        <v>2933</v>
      </c>
      <c r="AS615" t="s">
        <v>2934</v>
      </c>
      <c r="AT615" t="s">
        <v>8891</v>
      </c>
      <c r="AU615">
        <v>2003</v>
      </c>
      <c r="AV615">
        <v>289</v>
      </c>
      <c r="AW615">
        <v>1</v>
      </c>
      <c r="AX615" t="s">
        <v>74</v>
      </c>
      <c r="AY615" t="s">
        <v>74</v>
      </c>
      <c r="AZ615" t="s">
        <v>74</v>
      </c>
      <c r="BA615" t="s">
        <v>74</v>
      </c>
      <c r="BB615">
        <v>139</v>
      </c>
      <c r="BC615">
        <v>151</v>
      </c>
      <c r="BD615" t="s">
        <v>74</v>
      </c>
      <c r="BE615" t="s">
        <v>8892</v>
      </c>
      <c r="BF615" t="str">
        <f>HYPERLINK("http://dx.doi.org/10.1016/S0022-0981(03)00043-1","http://dx.doi.org/10.1016/S0022-0981(03)00043-1")</f>
        <v>http://dx.doi.org/10.1016/S0022-0981(03)00043-1</v>
      </c>
      <c r="BG615" t="s">
        <v>74</v>
      </c>
      <c r="BH615" t="s">
        <v>74</v>
      </c>
      <c r="BI615">
        <v>13</v>
      </c>
      <c r="BJ615" t="s">
        <v>485</v>
      </c>
      <c r="BK615" t="s">
        <v>94</v>
      </c>
      <c r="BL615" t="s">
        <v>486</v>
      </c>
      <c r="BM615" t="s">
        <v>8893</v>
      </c>
      <c r="BN615" t="s">
        <v>74</v>
      </c>
      <c r="BO615" t="s">
        <v>74</v>
      </c>
      <c r="BP615" t="s">
        <v>74</v>
      </c>
      <c r="BQ615" t="s">
        <v>74</v>
      </c>
      <c r="BR615" t="s">
        <v>97</v>
      </c>
      <c r="BS615" t="s">
        <v>8894</v>
      </c>
      <c r="BT615" t="str">
        <f>HYPERLINK("https%3A%2F%2Fwww.webofscience.com%2Fwos%2Fwoscc%2Ffull-record%2FWOS:000182250600008","View Full Record in Web of Science")</f>
        <v>View Full Record in Web of Science</v>
      </c>
    </row>
    <row r="616" spans="1:72" x14ac:dyDescent="0.15">
      <c r="A616" t="s">
        <v>72</v>
      </c>
      <c r="B616" t="s">
        <v>8895</v>
      </c>
      <c r="C616" t="s">
        <v>74</v>
      </c>
      <c r="D616" t="s">
        <v>74</v>
      </c>
      <c r="E616" t="s">
        <v>74</v>
      </c>
      <c r="F616" t="s">
        <v>8895</v>
      </c>
      <c r="G616" t="s">
        <v>74</v>
      </c>
      <c r="H616" t="s">
        <v>74</v>
      </c>
      <c r="I616" t="s">
        <v>8896</v>
      </c>
      <c r="J616" t="s">
        <v>578</v>
      </c>
      <c r="K616" t="s">
        <v>74</v>
      </c>
      <c r="L616" t="s">
        <v>74</v>
      </c>
      <c r="M616" t="s">
        <v>77</v>
      </c>
      <c r="N616" t="s">
        <v>78</v>
      </c>
      <c r="O616" t="s">
        <v>74</v>
      </c>
      <c r="P616" t="s">
        <v>74</v>
      </c>
      <c r="Q616" t="s">
        <v>74</v>
      </c>
      <c r="R616" t="s">
        <v>74</v>
      </c>
      <c r="S616" t="s">
        <v>74</v>
      </c>
      <c r="T616" t="s">
        <v>74</v>
      </c>
      <c r="U616" t="s">
        <v>8897</v>
      </c>
      <c r="V616" t="s">
        <v>8898</v>
      </c>
      <c r="W616" t="s">
        <v>8899</v>
      </c>
      <c r="X616" t="s">
        <v>8900</v>
      </c>
      <c r="Y616" t="s">
        <v>8901</v>
      </c>
      <c r="Z616" t="s">
        <v>8902</v>
      </c>
      <c r="AA616" t="s">
        <v>8903</v>
      </c>
      <c r="AB616" t="s">
        <v>8904</v>
      </c>
      <c r="AC616" t="s">
        <v>74</v>
      </c>
      <c r="AD616" t="s">
        <v>74</v>
      </c>
      <c r="AE616" t="s">
        <v>74</v>
      </c>
      <c r="AF616" t="s">
        <v>74</v>
      </c>
      <c r="AG616">
        <v>24</v>
      </c>
      <c r="AH616">
        <v>38</v>
      </c>
      <c r="AI616">
        <v>40</v>
      </c>
      <c r="AJ616">
        <v>0</v>
      </c>
      <c r="AK616">
        <v>6</v>
      </c>
      <c r="AL616" t="s">
        <v>539</v>
      </c>
      <c r="AM616" t="s">
        <v>540</v>
      </c>
      <c r="AN616" t="s">
        <v>541</v>
      </c>
      <c r="AO616" t="s">
        <v>588</v>
      </c>
      <c r="AP616" t="s">
        <v>605</v>
      </c>
      <c r="AQ616" t="s">
        <v>74</v>
      </c>
      <c r="AR616" t="s">
        <v>589</v>
      </c>
      <c r="AS616" t="s">
        <v>590</v>
      </c>
      <c r="AT616" t="s">
        <v>8891</v>
      </c>
      <c r="AU616">
        <v>2003</v>
      </c>
      <c r="AV616">
        <v>108</v>
      </c>
      <c r="AW616" t="s">
        <v>8835</v>
      </c>
      <c r="AX616" t="s">
        <v>74</v>
      </c>
      <c r="AY616" t="s">
        <v>74</v>
      </c>
      <c r="AZ616" t="s">
        <v>74</v>
      </c>
      <c r="BA616" t="s">
        <v>74</v>
      </c>
      <c r="BB616" t="s">
        <v>74</v>
      </c>
      <c r="BC616" t="s">
        <v>74</v>
      </c>
      <c r="BD616">
        <v>4241</v>
      </c>
      <c r="BE616" t="s">
        <v>8905</v>
      </c>
      <c r="BF616" t="str">
        <f>HYPERLINK("http://dx.doi.org/10.1029/2002JD003077","http://dx.doi.org/10.1029/2002JD003077")</f>
        <v>http://dx.doi.org/10.1029/2002JD003077</v>
      </c>
      <c r="BG616" t="s">
        <v>74</v>
      </c>
      <c r="BH616" t="s">
        <v>74</v>
      </c>
      <c r="BI616">
        <v>11</v>
      </c>
      <c r="BJ616" t="s">
        <v>93</v>
      </c>
      <c r="BK616" t="s">
        <v>94</v>
      </c>
      <c r="BL616" t="s">
        <v>93</v>
      </c>
      <c r="BM616" t="s">
        <v>8906</v>
      </c>
      <c r="BN616" t="s">
        <v>74</v>
      </c>
      <c r="BO616" t="s">
        <v>96</v>
      </c>
      <c r="BP616" t="s">
        <v>74</v>
      </c>
      <c r="BQ616" t="s">
        <v>74</v>
      </c>
      <c r="BR616" t="s">
        <v>97</v>
      </c>
      <c r="BS616" t="s">
        <v>8907</v>
      </c>
      <c r="BT616" t="str">
        <f>HYPERLINK("https%3A%2F%2Fwww.webofscience.com%2Fwos%2Fwoscc%2Ffull-record%2FWOS:000182842100003","View Full Record in Web of Science")</f>
        <v>View Full Record in Web of Science</v>
      </c>
    </row>
    <row r="617" spans="1:72" x14ac:dyDescent="0.15">
      <c r="A617" t="s">
        <v>72</v>
      </c>
      <c r="B617" t="s">
        <v>8908</v>
      </c>
      <c r="C617" t="s">
        <v>74</v>
      </c>
      <c r="D617" t="s">
        <v>74</v>
      </c>
      <c r="E617" t="s">
        <v>74</v>
      </c>
      <c r="F617" t="s">
        <v>8908</v>
      </c>
      <c r="G617" t="s">
        <v>74</v>
      </c>
      <c r="H617" t="s">
        <v>74</v>
      </c>
      <c r="I617" t="s">
        <v>8909</v>
      </c>
      <c r="J617" t="s">
        <v>665</v>
      </c>
      <c r="K617" t="s">
        <v>74</v>
      </c>
      <c r="L617" t="s">
        <v>74</v>
      </c>
      <c r="M617" t="s">
        <v>77</v>
      </c>
      <c r="N617" t="s">
        <v>773</v>
      </c>
      <c r="O617" t="s">
        <v>74</v>
      </c>
      <c r="P617" t="s">
        <v>74</v>
      </c>
      <c r="Q617" t="s">
        <v>74</v>
      </c>
      <c r="R617" t="s">
        <v>74</v>
      </c>
      <c r="S617" t="s">
        <v>74</v>
      </c>
      <c r="T617" t="s">
        <v>8910</v>
      </c>
      <c r="U617" t="s">
        <v>8911</v>
      </c>
      <c r="V617" t="s">
        <v>74</v>
      </c>
      <c r="W617" t="s">
        <v>5463</v>
      </c>
      <c r="X617" t="s">
        <v>706</v>
      </c>
      <c r="Y617" t="s">
        <v>74</v>
      </c>
      <c r="Z617" t="s">
        <v>8912</v>
      </c>
      <c r="AA617" t="s">
        <v>74</v>
      </c>
      <c r="AB617" t="s">
        <v>74</v>
      </c>
      <c r="AC617" t="s">
        <v>74</v>
      </c>
      <c r="AD617" t="s">
        <v>74</v>
      </c>
      <c r="AE617" t="s">
        <v>74</v>
      </c>
      <c r="AF617" t="s">
        <v>74</v>
      </c>
      <c r="AG617">
        <v>15</v>
      </c>
      <c r="AH617">
        <v>0</v>
      </c>
      <c r="AI617">
        <v>0</v>
      </c>
      <c r="AJ617">
        <v>0</v>
      </c>
      <c r="AK617">
        <v>1</v>
      </c>
      <c r="AL617" t="s">
        <v>539</v>
      </c>
      <c r="AM617" t="s">
        <v>540</v>
      </c>
      <c r="AN617" t="s">
        <v>541</v>
      </c>
      <c r="AO617" t="s">
        <v>672</v>
      </c>
      <c r="AP617" t="s">
        <v>673</v>
      </c>
      <c r="AQ617" t="s">
        <v>74</v>
      </c>
      <c r="AR617" t="s">
        <v>674</v>
      </c>
      <c r="AS617" t="s">
        <v>675</v>
      </c>
      <c r="AT617" t="s">
        <v>8891</v>
      </c>
      <c r="AU617">
        <v>2003</v>
      </c>
      <c r="AV617">
        <v>108</v>
      </c>
      <c r="AW617" t="s">
        <v>8763</v>
      </c>
      <c r="AX617" t="s">
        <v>74</v>
      </c>
      <c r="AY617" t="s">
        <v>74</v>
      </c>
      <c r="AZ617" t="s">
        <v>74</v>
      </c>
      <c r="BA617" t="s">
        <v>74</v>
      </c>
      <c r="BB617" t="s">
        <v>74</v>
      </c>
      <c r="BC617" t="s">
        <v>74</v>
      </c>
      <c r="BD617">
        <v>8074</v>
      </c>
      <c r="BE617" t="s">
        <v>8913</v>
      </c>
      <c r="BF617" t="str">
        <f>HYPERLINK("http://dx.doi.org/10.1029/2002JC001409","http://dx.doi.org/10.1029/2002JC001409")</f>
        <v>http://dx.doi.org/10.1029/2002JC001409</v>
      </c>
      <c r="BG617" t="s">
        <v>74</v>
      </c>
      <c r="BH617" t="s">
        <v>74</v>
      </c>
      <c r="BI617">
        <v>2</v>
      </c>
      <c r="BJ617" t="s">
        <v>678</v>
      </c>
      <c r="BK617" t="s">
        <v>94</v>
      </c>
      <c r="BL617" t="s">
        <v>678</v>
      </c>
      <c r="BM617" t="s">
        <v>8914</v>
      </c>
      <c r="BN617" t="s">
        <v>74</v>
      </c>
      <c r="BO617" t="s">
        <v>96</v>
      </c>
      <c r="BP617" t="s">
        <v>74</v>
      </c>
      <c r="BQ617" t="s">
        <v>74</v>
      </c>
      <c r="BR617" t="s">
        <v>97</v>
      </c>
      <c r="BS617" t="s">
        <v>8915</v>
      </c>
      <c r="BT617" t="str">
        <f>HYPERLINK("https%3A%2F%2Fwww.webofscience.com%2Fwos%2Fwoscc%2Ffull-record%2FWOS:000182843900002","View Full Record in Web of Science")</f>
        <v>View Full Record in Web of Science</v>
      </c>
    </row>
    <row r="618" spans="1:72" x14ac:dyDescent="0.15">
      <c r="A618" t="s">
        <v>72</v>
      </c>
      <c r="B618" t="s">
        <v>8916</v>
      </c>
      <c r="C618" t="s">
        <v>74</v>
      </c>
      <c r="D618" t="s">
        <v>74</v>
      </c>
      <c r="E618" t="s">
        <v>74</v>
      </c>
      <c r="F618" t="s">
        <v>8916</v>
      </c>
      <c r="G618" t="s">
        <v>74</v>
      </c>
      <c r="H618" t="s">
        <v>74</v>
      </c>
      <c r="I618" t="s">
        <v>8917</v>
      </c>
      <c r="J618" t="s">
        <v>665</v>
      </c>
      <c r="K618" t="s">
        <v>74</v>
      </c>
      <c r="L618" t="s">
        <v>74</v>
      </c>
      <c r="M618" t="s">
        <v>77</v>
      </c>
      <c r="N618" t="s">
        <v>78</v>
      </c>
      <c r="O618" t="s">
        <v>74</v>
      </c>
      <c r="P618" t="s">
        <v>74</v>
      </c>
      <c r="Q618" t="s">
        <v>74</v>
      </c>
      <c r="R618" t="s">
        <v>74</v>
      </c>
      <c r="S618" t="s">
        <v>74</v>
      </c>
      <c r="T618" t="s">
        <v>74</v>
      </c>
      <c r="U618" t="s">
        <v>8918</v>
      </c>
      <c r="V618" t="s">
        <v>8919</v>
      </c>
      <c r="W618" t="s">
        <v>8920</v>
      </c>
      <c r="X618" t="s">
        <v>8921</v>
      </c>
      <c r="Y618" t="s">
        <v>8922</v>
      </c>
      <c r="Z618" t="s">
        <v>8923</v>
      </c>
      <c r="AA618" t="s">
        <v>8924</v>
      </c>
      <c r="AB618" t="s">
        <v>8925</v>
      </c>
      <c r="AC618" t="s">
        <v>74</v>
      </c>
      <c r="AD618" t="s">
        <v>74</v>
      </c>
      <c r="AE618" t="s">
        <v>74</v>
      </c>
      <c r="AF618" t="s">
        <v>74</v>
      </c>
      <c r="AG618">
        <v>80</v>
      </c>
      <c r="AH618">
        <v>16</v>
      </c>
      <c r="AI618">
        <v>16</v>
      </c>
      <c r="AJ618">
        <v>0</v>
      </c>
      <c r="AK618">
        <v>8</v>
      </c>
      <c r="AL618" t="s">
        <v>539</v>
      </c>
      <c r="AM618" t="s">
        <v>540</v>
      </c>
      <c r="AN618" t="s">
        <v>541</v>
      </c>
      <c r="AO618" t="s">
        <v>672</v>
      </c>
      <c r="AP618" t="s">
        <v>673</v>
      </c>
      <c r="AQ618" t="s">
        <v>74</v>
      </c>
      <c r="AR618" t="s">
        <v>674</v>
      </c>
      <c r="AS618" t="s">
        <v>675</v>
      </c>
      <c r="AT618" t="s">
        <v>8891</v>
      </c>
      <c r="AU618">
        <v>2003</v>
      </c>
      <c r="AV618">
        <v>108</v>
      </c>
      <c r="AW618" t="s">
        <v>8763</v>
      </c>
      <c r="AX618" t="s">
        <v>74</v>
      </c>
      <c r="AY618" t="s">
        <v>74</v>
      </c>
      <c r="AZ618" t="s">
        <v>74</v>
      </c>
      <c r="BA618" t="s">
        <v>74</v>
      </c>
      <c r="BB618" t="s">
        <v>74</v>
      </c>
      <c r="BC618" t="s">
        <v>74</v>
      </c>
      <c r="BD618">
        <v>3123</v>
      </c>
      <c r="BE618" t="s">
        <v>8926</v>
      </c>
      <c r="BF618" t="str">
        <f>HYPERLINK("http://dx.doi.org/10.1029/2000JC000366","http://dx.doi.org/10.1029/2000JC000366")</f>
        <v>http://dx.doi.org/10.1029/2000JC000366</v>
      </c>
      <c r="BG618" t="s">
        <v>74</v>
      </c>
      <c r="BH618" t="s">
        <v>74</v>
      </c>
      <c r="BI618">
        <v>16</v>
      </c>
      <c r="BJ618" t="s">
        <v>678</v>
      </c>
      <c r="BK618" t="s">
        <v>94</v>
      </c>
      <c r="BL618" t="s">
        <v>678</v>
      </c>
      <c r="BM618" t="s">
        <v>8914</v>
      </c>
      <c r="BN618" t="s">
        <v>74</v>
      </c>
      <c r="BO618" t="s">
        <v>628</v>
      </c>
      <c r="BP618" t="s">
        <v>74</v>
      </c>
      <c r="BQ618" t="s">
        <v>74</v>
      </c>
      <c r="BR618" t="s">
        <v>97</v>
      </c>
      <c r="BS618" t="s">
        <v>8927</v>
      </c>
      <c r="BT618" t="str">
        <f>HYPERLINK("https%3A%2F%2Fwww.webofscience.com%2Fwos%2Fwoscc%2Ffull-record%2FWOS:000182843900001","View Full Record in Web of Science")</f>
        <v>View Full Record in Web of Science</v>
      </c>
    </row>
    <row r="619" spans="1:72" x14ac:dyDescent="0.15">
      <c r="A619" t="s">
        <v>72</v>
      </c>
      <c r="B619" t="s">
        <v>8928</v>
      </c>
      <c r="C619" t="s">
        <v>74</v>
      </c>
      <c r="D619" t="s">
        <v>74</v>
      </c>
      <c r="E619" t="s">
        <v>74</v>
      </c>
      <c r="F619" t="s">
        <v>8928</v>
      </c>
      <c r="G619" t="s">
        <v>74</v>
      </c>
      <c r="H619" t="s">
        <v>74</v>
      </c>
      <c r="I619" t="s">
        <v>8929</v>
      </c>
      <c r="J619" t="s">
        <v>2517</v>
      </c>
      <c r="K619" t="s">
        <v>74</v>
      </c>
      <c r="L619" t="s">
        <v>74</v>
      </c>
      <c r="M619" t="s">
        <v>77</v>
      </c>
      <c r="N619" t="s">
        <v>78</v>
      </c>
      <c r="O619" t="s">
        <v>74</v>
      </c>
      <c r="P619" t="s">
        <v>74</v>
      </c>
      <c r="Q619" t="s">
        <v>74</v>
      </c>
      <c r="R619" t="s">
        <v>74</v>
      </c>
      <c r="S619" t="s">
        <v>74</v>
      </c>
      <c r="T619" t="s">
        <v>8930</v>
      </c>
      <c r="U619" t="s">
        <v>8931</v>
      </c>
      <c r="V619" t="s">
        <v>8932</v>
      </c>
      <c r="W619" t="s">
        <v>8933</v>
      </c>
      <c r="X619" t="s">
        <v>186</v>
      </c>
      <c r="Y619" t="s">
        <v>8934</v>
      </c>
      <c r="Z619" t="s">
        <v>74</v>
      </c>
      <c r="AA619" t="s">
        <v>74</v>
      </c>
      <c r="AB619" t="s">
        <v>74</v>
      </c>
      <c r="AC619" t="s">
        <v>74</v>
      </c>
      <c r="AD619" t="s">
        <v>74</v>
      </c>
      <c r="AE619" t="s">
        <v>74</v>
      </c>
      <c r="AF619" t="s">
        <v>74</v>
      </c>
      <c r="AG619">
        <v>38</v>
      </c>
      <c r="AH619">
        <v>5</v>
      </c>
      <c r="AI619">
        <v>5</v>
      </c>
      <c r="AJ619">
        <v>0</v>
      </c>
      <c r="AK619">
        <v>4</v>
      </c>
      <c r="AL619" t="s">
        <v>110</v>
      </c>
      <c r="AM619" t="s">
        <v>111</v>
      </c>
      <c r="AN619" t="s">
        <v>112</v>
      </c>
      <c r="AO619" t="s">
        <v>2524</v>
      </c>
      <c r="AP619" t="s">
        <v>74</v>
      </c>
      <c r="AQ619" t="s">
        <v>74</v>
      </c>
      <c r="AR619" t="s">
        <v>2525</v>
      </c>
      <c r="AS619" t="s">
        <v>2526</v>
      </c>
      <c r="AT619" t="s">
        <v>8891</v>
      </c>
      <c r="AU619">
        <v>2003</v>
      </c>
      <c r="AV619">
        <v>157</v>
      </c>
      <c r="AW619" t="s">
        <v>116</v>
      </c>
      <c r="AX619" t="s">
        <v>74</v>
      </c>
      <c r="AY619" t="s">
        <v>74</v>
      </c>
      <c r="AZ619" t="s">
        <v>74</v>
      </c>
      <c r="BA619" t="s">
        <v>74</v>
      </c>
      <c r="BB619">
        <v>303</v>
      </c>
      <c r="BC619">
        <v>315</v>
      </c>
      <c r="BD619" t="s">
        <v>74</v>
      </c>
      <c r="BE619" t="s">
        <v>8935</v>
      </c>
      <c r="BF619" t="str">
        <f>HYPERLINK("http://dx.doi.org/10.1016/S0037-0738(02)00241-5","http://dx.doi.org/10.1016/S0037-0738(02)00241-5")</f>
        <v>http://dx.doi.org/10.1016/S0037-0738(02)00241-5</v>
      </c>
      <c r="BG619" t="s">
        <v>74</v>
      </c>
      <c r="BH619" t="s">
        <v>74</v>
      </c>
      <c r="BI619">
        <v>13</v>
      </c>
      <c r="BJ619" t="s">
        <v>549</v>
      </c>
      <c r="BK619" t="s">
        <v>94</v>
      </c>
      <c r="BL619" t="s">
        <v>549</v>
      </c>
      <c r="BM619" t="s">
        <v>8936</v>
      </c>
      <c r="BN619" t="s">
        <v>74</v>
      </c>
      <c r="BO619" t="s">
        <v>74</v>
      </c>
      <c r="BP619" t="s">
        <v>74</v>
      </c>
      <c r="BQ619" t="s">
        <v>74</v>
      </c>
      <c r="BR619" t="s">
        <v>97</v>
      </c>
      <c r="BS619" t="s">
        <v>8937</v>
      </c>
      <c r="BT619" t="str">
        <f>HYPERLINK("https%3A%2F%2Fwww.webofscience.com%2Fwos%2Fwoscc%2Ffull-record%2FWOS:000182235600007","View Full Record in Web of Science")</f>
        <v>View Full Record in Web of Science</v>
      </c>
    </row>
    <row r="620" spans="1:72" x14ac:dyDescent="0.15">
      <c r="A620" t="s">
        <v>72</v>
      </c>
      <c r="B620" t="s">
        <v>8938</v>
      </c>
      <c r="C620" t="s">
        <v>74</v>
      </c>
      <c r="D620" t="s">
        <v>74</v>
      </c>
      <c r="E620" t="s">
        <v>74</v>
      </c>
      <c r="F620" t="s">
        <v>8938</v>
      </c>
      <c r="G620" t="s">
        <v>74</v>
      </c>
      <c r="H620" t="s">
        <v>74</v>
      </c>
      <c r="I620" t="s">
        <v>8939</v>
      </c>
      <c r="J620" t="s">
        <v>683</v>
      </c>
      <c r="K620" t="s">
        <v>74</v>
      </c>
      <c r="L620" t="s">
        <v>74</v>
      </c>
      <c r="M620" t="s">
        <v>77</v>
      </c>
      <c r="N620" t="s">
        <v>78</v>
      </c>
      <c r="O620" t="s">
        <v>74</v>
      </c>
      <c r="P620" t="s">
        <v>74</v>
      </c>
      <c r="Q620" t="s">
        <v>74</v>
      </c>
      <c r="R620" t="s">
        <v>74</v>
      </c>
      <c r="S620" t="s">
        <v>74</v>
      </c>
      <c r="T620" t="s">
        <v>8940</v>
      </c>
      <c r="U620" t="s">
        <v>8941</v>
      </c>
      <c r="V620" t="s">
        <v>8942</v>
      </c>
      <c r="W620" t="s">
        <v>8943</v>
      </c>
      <c r="X620" t="s">
        <v>8944</v>
      </c>
      <c r="Y620" t="s">
        <v>3304</v>
      </c>
      <c r="Z620" t="s">
        <v>8945</v>
      </c>
      <c r="AA620" t="s">
        <v>74</v>
      </c>
      <c r="AB620" t="s">
        <v>74</v>
      </c>
      <c r="AC620" t="s">
        <v>74</v>
      </c>
      <c r="AD620" t="s">
        <v>74</v>
      </c>
      <c r="AE620" t="s">
        <v>74</v>
      </c>
      <c r="AF620" t="s">
        <v>74</v>
      </c>
      <c r="AG620">
        <v>20</v>
      </c>
      <c r="AH620">
        <v>33</v>
      </c>
      <c r="AI620">
        <v>43</v>
      </c>
      <c r="AJ620">
        <v>0</v>
      </c>
      <c r="AK620">
        <v>7</v>
      </c>
      <c r="AL620" t="s">
        <v>539</v>
      </c>
      <c r="AM620" t="s">
        <v>540</v>
      </c>
      <c r="AN620" t="s">
        <v>541</v>
      </c>
      <c r="AO620" t="s">
        <v>74</v>
      </c>
      <c r="AP620" t="s">
        <v>693</v>
      </c>
      <c r="AQ620" t="s">
        <v>74</v>
      </c>
      <c r="AR620" t="s">
        <v>694</v>
      </c>
      <c r="AS620" t="s">
        <v>695</v>
      </c>
      <c r="AT620" t="s">
        <v>8946</v>
      </c>
      <c r="AU620">
        <v>2003</v>
      </c>
      <c r="AV620">
        <v>4</v>
      </c>
      <c r="AW620" t="s">
        <v>74</v>
      </c>
      <c r="AX620" t="s">
        <v>74</v>
      </c>
      <c r="AY620" t="s">
        <v>74</v>
      </c>
      <c r="AZ620" t="s">
        <v>74</v>
      </c>
      <c r="BA620" t="s">
        <v>74</v>
      </c>
      <c r="BB620" t="s">
        <v>74</v>
      </c>
      <c r="BC620" t="s">
        <v>74</v>
      </c>
      <c r="BD620">
        <v>1038</v>
      </c>
      <c r="BE620" t="s">
        <v>8947</v>
      </c>
      <c r="BF620" t="str">
        <f>HYPERLINK("http://dx.doi.org/10.1029/2002GC000441","http://dx.doi.org/10.1029/2002GC000441")</f>
        <v>http://dx.doi.org/10.1029/2002GC000441</v>
      </c>
      <c r="BG620" t="s">
        <v>74</v>
      </c>
      <c r="BH620" t="s">
        <v>74</v>
      </c>
      <c r="BI620">
        <v>12</v>
      </c>
      <c r="BJ620" t="s">
        <v>176</v>
      </c>
      <c r="BK620" t="s">
        <v>94</v>
      </c>
      <c r="BL620" t="s">
        <v>176</v>
      </c>
      <c r="BM620" t="s">
        <v>8948</v>
      </c>
      <c r="BN620" t="s">
        <v>74</v>
      </c>
      <c r="BO620" t="s">
        <v>96</v>
      </c>
      <c r="BP620" t="s">
        <v>74</v>
      </c>
      <c r="BQ620" t="s">
        <v>74</v>
      </c>
      <c r="BR620" t="s">
        <v>97</v>
      </c>
      <c r="BS620" t="s">
        <v>8949</v>
      </c>
      <c r="BT620" t="str">
        <f>HYPERLINK("https%3A%2F%2Fwww.webofscience.com%2Fwos%2Fwoscc%2Ffull-record%2FWOS:000182344100002","View Full Record in Web of Science")</f>
        <v>View Full Record in Web of Science</v>
      </c>
    </row>
    <row r="621" spans="1:72" x14ac:dyDescent="0.15">
      <c r="A621" t="s">
        <v>72</v>
      </c>
      <c r="B621" t="s">
        <v>8950</v>
      </c>
      <c r="C621" t="s">
        <v>74</v>
      </c>
      <c r="D621" t="s">
        <v>74</v>
      </c>
      <c r="E621" t="s">
        <v>74</v>
      </c>
      <c r="F621" t="s">
        <v>8950</v>
      </c>
      <c r="G621" t="s">
        <v>74</v>
      </c>
      <c r="H621" t="s">
        <v>74</v>
      </c>
      <c r="I621" t="s">
        <v>8951</v>
      </c>
      <c r="J621" t="s">
        <v>2741</v>
      </c>
      <c r="K621" t="s">
        <v>74</v>
      </c>
      <c r="L621" t="s">
        <v>74</v>
      </c>
      <c r="M621" t="s">
        <v>77</v>
      </c>
      <c r="N621" t="s">
        <v>4339</v>
      </c>
      <c r="O621" t="s">
        <v>74</v>
      </c>
      <c r="P621" t="s">
        <v>74</v>
      </c>
      <c r="Q621" t="s">
        <v>74</v>
      </c>
      <c r="R621" t="s">
        <v>74</v>
      </c>
      <c r="S621" t="s">
        <v>74</v>
      </c>
      <c r="T621" t="s">
        <v>74</v>
      </c>
      <c r="U621" t="s">
        <v>8952</v>
      </c>
      <c r="V621" t="s">
        <v>74</v>
      </c>
      <c r="W621" t="s">
        <v>8953</v>
      </c>
      <c r="X621" t="s">
        <v>8954</v>
      </c>
      <c r="Y621" t="s">
        <v>8955</v>
      </c>
      <c r="Z621" t="s">
        <v>74</v>
      </c>
      <c r="AA621" t="s">
        <v>74</v>
      </c>
      <c r="AB621" t="s">
        <v>8956</v>
      </c>
      <c r="AC621" t="s">
        <v>74</v>
      </c>
      <c r="AD621" t="s">
        <v>74</v>
      </c>
      <c r="AE621" t="s">
        <v>74</v>
      </c>
      <c r="AF621" t="s">
        <v>74</v>
      </c>
      <c r="AG621">
        <v>15</v>
      </c>
      <c r="AH621">
        <v>21</v>
      </c>
      <c r="AI621">
        <v>22</v>
      </c>
      <c r="AJ621">
        <v>0</v>
      </c>
      <c r="AK621">
        <v>57</v>
      </c>
      <c r="AL621" t="s">
        <v>2750</v>
      </c>
      <c r="AM621" t="s">
        <v>540</v>
      </c>
      <c r="AN621" t="s">
        <v>2751</v>
      </c>
      <c r="AO621" t="s">
        <v>2752</v>
      </c>
      <c r="AP621" t="s">
        <v>2753</v>
      </c>
      <c r="AQ621" t="s">
        <v>74</v>
      </c>
      <c r="AR621" t="s">
        <v>2741</v>
      </c>
      <c r="AS621" t="s">
        <v>2754</v>
      </c>
      <c r="AT621" t="s">
        <v>8957</v>
      </c>
      <c r="AU621">
        <v>2003</v>
      </c>
      <c r="AV621">
        <v>300</v>
      </c>
      <c r="AW621">
        <v>5618</v>
      </c>
      <c r="AX621" t="s">
        <v>74</v>
      </c>
      <c r="AY621" t="s">
        <v>74</v>
      </c>
      <c r="AZ621" t="s">
        <v>74</v>
      </c>
      <c r="BA621" t="s">
        <v>74</v>
      </c>
      <c r="BB621">
        <v>429</v>
      </c>
      <c r="BC621">
        <v>429</v>
      </c>
      <c r="BD621" t="s">
        <v>74</v>
      </c>
      <c r="BE621" t="s">
        <v>74</v>
      </c>
      <c r="BF621" t="s">
        <v>74</v>
      </c>
      <c r="BG621" t="s">
        <v>74</v>
      </c>
      <c r="BH621" t="s">
        <v>74</v>
      </c>
      <c r="BI621">
        <v>1</v>
      </c>
      <c r="BJ621" t="s">
        <v>971</v>
      </c>
      <c r="BK621" t="s">
        <v>94</v>
      </c>
      <c r="BL621" t="s">
        <v>972</v>
      </c>
      <c r="BM621" t="s">
        <v>8958</v>
      </c>
      <c r="BN621">
        <v>12702857</v>
      </c>
      <c r="BO621" t="s">
        <v>74</v>
      </c>
      <c r="BP621" t="s">
        <v>74</v>
      </c>
      <c r="BQ621" t="s">
        <v>74</v>
      </c>
      <c r="BR621" t="s">
        <v>97</v>
      </c>
      <c r="BS621" t="s">
        <v>8959</v>
      </c>
      <c r="BT621" t="str">
        <f>HYPERLINK("https%3A%2F%2Fwww.webofscience.com%2Fwos%2Fwoscc%2Ffull-record%2FWOS:000182295900015","View Full Record in Web of Science")</f>
        <v>View Full Record in Web of Science</v>
      </c>
    </row>
    <row r="622" spans="1:72" x14ac:dyDescent="0.15">
      <c r="A622" t="s">
        <v>72</v>
      </c>
      <c r="B622" t="s">
        <v>8960</v>
      </c>
      <c r="C622" t="s">
        <v>74</v>
      </c>
      <c r="D622" t="s">
        <v>74</v>
      </c>
      <c r="E622" t="s">
        <v>74</v>
      </c>
      <c r="F622" t="s">
        <v>8960</v>
      </c>
      <c r="G622" t="s">
        <v>74</v>
      </c>
      <c r="H622" t="s">
        <v>74</v>
      </c>
      <c r="I622" t="s">
        <v>8961</v>
      </c>
      <c r="J622" t="s">
        <v>2741</v>
      </c>
      <c r="K622" t="s">
        <v>74</v>
      </c>
      <c r="L622" t="s">
        <v>74</v>
      </c>
      <c r="M622" t="s">
        <v>77</v>
      </c>
      <c r="N622" t="s">
        <v>4339</v>
      </c>
      <c r="O622" t="s">
        <v>74</v>
      </c>
      <c r="P622" t="s">
        <v>74</v>
      </c>
      <c r="Q622" t="s">
        <v>74</v>
      </c>
      <c r="R622" t="s">
        <v>74</v>
      </c>
      <c r="S622" t="s">
        <v>74</v>
      </c>
      <c r="T622" t="s">
        <v>74</v>
      </c>
      <c r="U622" t="s">
        <v>74</v>
      </c>
      <c r="V622" t="s">
        <v>74</v>
      </c>
      <c r="W622" t="s">
        <v>705</v>
      </c>
      <c r="X622" t="s">
        <v>706</v>
      </c>
      <c r="Y622" t="s">
        <v>8962</v>
      </c>
      <c r="Z622" t="s">
        <v>74</v>
      </c>
      <c r="AA622" t="s">
        <v>7261</v>
      </c>
      <c r="AB622" t="s">
        <v>74</v>
      </c>
      <c r="AC622" t="s">
        <v>74</v>
      </c>
      <c r="AD622" t="s">
        <v>74</v>
      </c>
      <c r="AE622" t="s">
        <v>74</v>
      </c>
      <c r="AF622" t="s">
        <v>74</v>
      </c>
      <c r="AG622">
        <v>1</v>
      </c>
      <c r="AH622">
        <v>1</v>
      </c>
      <c r="AI622">
        <v>1</v>
      </c>
      <c r="AJ622">
        <v>0</v>
      </c>
      <c r="AK622">
        <v>6</v>
      </c>
      <c r="AL622" t="s">
        <v>2750</v>
      </c>
      <c r="AM622" t="s">
        <v>540</v>
      </c>
      <c r="AN622" t="s">
        <v>2751</v>
      </c>
      <c r="AO622" t="s">
        <v>2752</v>
      </c>
      <c r="AP622" t="s">
        <v>74</v>
      </c>
      <c r="AQ622" t="s">
        <v>74</v>
      </c>
      <c r="AR622" t="s">
        <v>2741</v>
      </c>
      <c r="AS622" t="s">
        <v>2754</v>
      </c>
      <c r="AT622" t="s">
        <v>8957</v>
      </c>
      <c r="AU622">
        <v>2003</v>
      </c>
      <c r="AV622">
        <v>300</v>
      </c>
      <c r="AW622">
        <v>5618</v>
      </c>
      <c r="AX622" t="s">
        <v>74</v>
      </c>
      <c r="AY622" t="s">
        <v>74</v>
      </c>
      <c r="AZ622" t="s">
        <v>74</v>
      </c>
      <c r="BA622" t="s">
        <v>74</v>
      </c>
      <c r="BB622">
        <v>429</v>
      </c>
      <c r="BC622">
        <v>430</v>
      </c>
      <c r="BD622" t="s">
        <v>74</v>
      </c>
      <c r="BE622" t="s">
        <v>74</v>
      </c>
      <c r="BF622" t="s">
        <v>74</v>
      </c>
      <c r="BG622" t="s">
        <v>74</v>
      </c>
      <c r="BH622" t="s">
        <v>74</v>
      </c>
      <c r="BI622">
        <v>2</v>
      </c>
      <c r="BJ622" t="s">
        <v>971</v>
      </c>
      <c r="BK622" t="s">
        <v>94</v>
      </c>
      <c r="BL622" t="s">
        <v>972</v>
      </c>
      <c r="BM622" t="s">
        <v>8958</v>
      </c>
      <c r="BN622" t="s">
        <v>74</v>
      </c>
      <c r="BO622" t="s">
        <v>74</v>
      </c>
      <c r="BP622" t="s">
        <v>74</v>
      </c>
      <c r="BQ622" t="s">
        <v>74</v>
      </c>
      <c r="BR622" t="s">
        <v>97</v>
      </c>
      <c r="BS622" t="s">
        <v>8963</v>
      </c>
      <c r="BT622" t="str">
        <f>HYPERLINK("https%3A%2F%2Fwww.webofscience.com%2Fwos%2Fwoscc%2Ffull-record%2FWOS:000182295900016","View Full Record in Web of Science")</f>
        <v>View Full Record in Web of Science</v>
      </c>
    </row>
    <row r="623" spans="1:72" x14ac:dyDescent="0.15">
      <c r="A623" t="s">
        <v>72</v>
      </c>
      <c r="B623" t="s">
        <v>8964</v>
      </c>
      <c r="C623" t="s">
        <v>74</v>
      </c>
      <c r="D623" t="s">
        <v>74</v>
      </c>
      <c r="E623" t="s">
        <v>74</v>
      </c>
      <c r="F623" t="s">
        <v>8964</v>
      </c>
      <c r="G623" t="s">
        <v>74</v>
      </c>
      <c r="H623" t="s">
        <v>74</v>
      </c>
      <c r="I623" t="s">
        <v>8965</v>
      </c>
      <c r="J623" t="s">
        <v>1033</v>
      </c>
      <c r="K623" t="s">
        <v>74</v>
      </c>
      <c r="L623" t="s">
        <v>74</v>
      </c>
      <c r="M623" t="s">
        <v>77</v>
      </c>
      <c r="N623" t="s">
        <v>78</v>
      </c>
      <c r="O623" t="s">
        <v>74</v>
      </c>
      <c r="P623" t="s">
        <v>74</v>
      </c>
      <c r="Q623" t="s">
        <v>74</v>
      </c>
      <c r="R623" t="s">
        <v>74</v>
      </c>
      <c r="S623" t="s">
        <v>74</v>
      </c>
      <c r="T623" t="s">
        <v>8966</v>
      </c>
      <c r="U623" t="s">
        <v>8967</v>
      </c>
      <c r="V623" t="s">
        <v>8968</v>
      </c>
      <c r="W623" t="s">
        <v>8969</v>
      </c>
      <c r="X623" t="s">
        <v>8970</v>
      </c>
      <c r="Y623" t="s">
        <v>8971</v>
      </c>
      <c r="Z623" t="s">
        <v>8972</v>
      </c>
      <c r="AA623" t="s">
        <v>74</v>
      </c>
      <c r="AB623" t="s">
        <v>74</v>
      </c>
      <c r="AC623" t="s">
        <v>74</v>
      </c>
      <c r="AD623" t="s">
        <v>74</v>
      </c>
      <c r="AE623" t="s">
        <v>74</v>
      </c>
      <c r="AF623" t="s">
        <v>74</v>
      </c>
      <c r="AG623">
        <v>48</v>
      </c>
      <c r="AH623">
        <v>139</v>
      </c>
      <c r="AI623">
        <v>162</v>
      </c>
      <c r="AJ623">
        <v>0</v>
      </c>
      <c r="AK623">
        <v>56</v>
      </c>
      <c r="AL623" t="s">
        <v>110</v>
      </c>
      <c r="AM623" t="s">
        <v>111</v>
      </c>
      <c r="AN623" t="s">
        <v>112</v>
      </c>
      <c r="AO623" t="s">
        <v>1043</v>
      </c>
      <c r="AP623" t="s">
        <v>1044</v>
      </c>
      <c r="AQ623" t="s">
        <v>74</v>
      </c>
      <c r="AR623" t="s">
        <v>1045</v>
      </c>
      <c r="AS623" t="s">
        <v>1046</v>
      </c>
      <c r="AT623" t="s">
        <v>8973</v>
      </c>
      <c r="AU623">
        <v>2003</v>
      </c>
      <c r="AV623">
        <v>209</v>
      </c>
      <c r="AW623" t="s">
        <v>787</v>
      </c>
      <c r="AX623" t="s">
        <v>74</v>
      </c>
      <c r="AY623" t="s">
        <v>74</v>
      </c>
      <c r="AZ623" t="s">
        <v>74</v>
      </c>
      <c r="BA623" t="s">
        <v>74</v>
      </c>
      <c r="BB623">
        <v>181</v>
      </c>
      <c r="BC623">
        <v>195</v>
      </c>
      <c r="BD623" t="s">
        <v>74</v>
      </c>
      <c r="BE623" t="s">
        <v>8974</v>
      </c>
      <c r="BF623" t="str">
        <f>HYPERLINK("http://dx.doi.org/10.1016/S0012-821X(03)00067-0","http://dx.doi.org/10.1016/S0012-821X(03)00067-0")</f>
        <v>http://dx.doi.org/10.1016/S0012-821X(03)00067-0</v>
      </c>
      <c r="BG623" t="s">
        <v>74</v>
      </c>
      <c r="BH623" t="s">
        <v>74</v>
      </c>
      <c r="BI623">
        <v>15</v>
      </c>
      <c r="BJ623" t="s">
        <v>176</v>
      </c>
      <c r="BK623" t="s">
        <v>94</v>
      </c>
      <c r="BL623" t="s">
        <v>176</v>
      </c>
      <c r="BM623" t="s">
        <v>8975</v>
      </c>
      <c r="BN623" t="s">
        <v>74</v>
      </c>
      <c r="BO623" t="s">
        <v>74</v>
      </c>
      <c r="BP623" t="s">
        <v>74</v>
      </c>
      <c r="BQ623" t="s">
        <v>74</v>
      </c>
      <c r="BR623" t="s">
        <v>97</v>
      </c>
      <c r="BS623" t="s">
        <v>8976</v>
      </c>
      <c r="BT623" t="str">
        <f>HYPERLINK("https%3A%2F%2Fwww.webofscience.com%2Fwos%2Fwoscc%2Ffull-record%2FWOS:000182189300013","View Full Record in Web of Science")</f>
        <v>View Full Record in Web of Science</v>
      </c>
    </row>
    <row r="624" spans="1:72" x14ac:dyDescent="0.15">
      <c r="A624" t="s">
        <v>72</v>
      </c>
      <c r="B624" t="s">
        <v>8977</v>
      </c>
      <c r="C624" t="s">
        <v>74</v>
      </c>
      <c r="D624" t="s">
        <v>74</v>
      </c>
      <c r="E624" t="s">
        <v>74</v>
      </c>
      <c r="F624" t="s">
        <v>8977</v>
      </c>
      <c r="G624" t="s">
        <v>74</v>
      </c>
      <c r="H624" t="s">
        <v>74</v>
      </c>
      <c r="I624" t="s">
        <v>8978</v>
      </c>
      <c r="J624" t="s">
        <v>8979</v>
      </c>
      <c r="K624" t="s">
        <v>74</v>
      </c>
      <c r="L624" t="s">
        <v>74</v>
      </c>
      <c r="M624" t="s">
        <v>77</v>
      </c>
      <c r="N624" t="s">
        <v>78</v>
      </c>
      <c r="O624" t="s">
        <v>74</v>
      </c>
      <c r="P624" t="s">
        <v>74</v>
      </c>
      <c r="Q624" t="s">
        <v>74</v>
      </c>
      <c r="R624" t="s">
        <v>74</v>
      </c>
      <c r="S624" t="s">
        <v>74</v>
      </c>
      <c r="T624" t="s">
        <v>8980</v>
      </c>
      <c r="U624" t="s">
        <v>8981</v>
      </c>
      <c r="V624" t="s">
        <v>8982</v>
      </c>
      <c r="W624" t="s">
        <v>8983</v>
      </c>
      <c r="X624" t="s">
        <v>8984</v>
      </c>
      <c r="Y624" t="s">
        <v>8985</v>
      </c>
      <c r="Z624" t="s">
        <v>8986</v>
      </c>
      <c r="AA624" t="s">
        <v>8987</v>
      </c>
      <c r="AB624" t="s">
        <v>8988</v>
      </c>
      <c r="AC624" t="s">
        <v>74</v>
      </c>
      <c r="AD624" t="s">
        <v>74</v>
      </c>
      <c r="AE624" t="s">
        <v>74</v>
      </c>
      <c r="AF624" t="s">
        <v>74</v>
      </c>
      <c r="AG624">
        <v>33</v>
      </c>
      <c r="AH624">
        <v>41</v>
      </c>
      <c r="AI624">
        <v>54</v>
      </c>
      <c r="AJ624">
        <v>3</v>
      </c>
      <c r="AK624">
        <v>12</v>
      </c>
      <c r="AL624" t="s">
        <v>781</v>
      </c>
      <c r="AM624" t="s">
        <v>111</v>
      </c>
      <c r="AN624" t="s">
        <v>782</v>
      </c>
      <c r="AO624" t="s">
        <v>8989</v>
      </c>
      <c r="AP624" t="s">
        <v>8990</v>
      </c>
      <c r="AQ624" t="s">
        <v>74</v>
      </c>
      <c r="AR624" t="s">
        <v>8991</v>
      </c>
      <c r="AS624" t="s">
        <v>8992</v>
      </c>
      <c r="AT624" t="s">
        <v>8973</v>
      </c>
      <c r="AU624">
        <v>2003</v>
      </c>
      <c r="AV624">
        <v>196</v>
      </c>
      <c r="AW624" t="s">
        <v>787</v>
      </c>
      <c r="AX624" t="s">
        <v>74</v>
      </c>
      <c r="AY624" t="s">
        <v>74</v>
      </c>
      <c r="AZ624" t="s">
        <v>74</v>
      </c>
      <c r="BA624" t="s">
        <v>74</v>
      </c>
      <c r="BB624">
        <v>37</v>
      </c>
      <c r="BC624">
        <v>52</v>
      </c>
      <c r="BD624" t="s">
        <v>74</v>
      </c>
      <c r="BE624" t="s">
        <v>8993</v>
      </c>
      <c r="BF624" t="str">
        <f>HYPERLINK("http://dx.doi.org/10.1016/S0025-3227(03)00043-4","http://dx.doi.org/10.1016/S0025-3227(03)00043-4")</f>
        <v>http://dx.doi.org/10.1016/S0025-3227(03)00043-4</v>
      </c>
      <c r="BG624" t="s">
        <v>74</v>
      </c>
      <c r="BH624" t="s">
        <v>74</v>
      </c>
      <c r="BI624">
        <v>16</v>
      </c>
      <c r="BJ624" t="s">
        <v>8994</v>
      </c>
      <c r="BK624" t="s">
        <v>94</v>
      </c>
      <c r="BL624" t="s">
        <v>8995</v>
      </c>
      <c r="BM624" t="s">
        <v>8996</v>
      </c>
      <c r="BN624" t="s">
        <v>74</v>
      </c>
      <c r="BO624" t="s">
        <v>74</v>
      </c>
      <c r="BP624" t="s">
        <v>74</v>
      </c>
      <c r="BQ624" t="s">
        <v>74</v>
      </c>
      <c r="BR624" t="s">
        <v>97</v>
      </c>
      <c r="BS624" t="s">
        <v>8997</v>
      </c>
      <c r="BT624" t="str">
        <f>HYPERLINK("https%3A%2F%2Fwww.webofscience.com%2Fwos%2Fwoscc%2Ffull-record%2FWOS:000182126200004","View Full Record in Web of Science")</f>
        <v>View Full Record in Web of Science</v>
      </c>
    </row>
    <row r="625" spans="1:72" x14ac:dyDescent="0.15">
      <c r="A625" t="s">
        <v>72</v>
      </c>
      <c r="B625" t="s">
        <v>8998</v>
      </c>
      <c r="C625" t="s">
        <v>74</v>
      </c>
      <c r="D625" t="s">
        <v>74</v>
      </c>
      <c r="E625" t="s">
        <v>74</v>
      </c>
      <c r="F625" t="s">
        <v>8998</v>
      </c>
      <c r="G625" t="s">
        <v>74</v>
      </c>
      <c r="H625" t="s">
        <v>74</v>
      </c>
      <c r="I625" t="s">
        <v>8999</v>
      </c>
      <c r="J625" t="s">
        <v>530</v>
      </c>
      <c r="K625" t="s">
        <v>74</v>
      </c>
      <c r="L625" t="s">
        <v>74</v>
      </c>
      <c r="M625" t="s">
        <v>77</v>
      </c>
      <c r="N625" t="s">
        <v>78</v>
      </c>
      <c r="O625" t="s">
        <v>74</v>
      </c>
      <c r="P625" t="s">
        <v>74</v>
      </c>
      <c r="Q625" t="s">
        <v>74</v>
      </c>
      <c r="R625" t="s">
        <v>74</v>
      </c>
      <c r="S625" t="s">
        <v>74</v>
      </c>
      <c r="T625" t="s">
        <v>74</v>
      </c>
      <c r="U625" t="s">
        <v>9000</v>
      </c>
      <c r="V625" t="s">
        <v>9001</v>
      </c>
      <c r="W625" t="s">
        <v>9002</v>
      </c>
      <c r="X625" t="s">
        <v>9003</v>
      </c>
      <c r="Y625" t="s">
        <v>9004</v>
      </c>
      <c r="Z625" t="s">
        <v>74</v>
      </c>
      <c r="AA625" t="s">
        <v>9005</v>
      </c>
      <c r="AB625" t="s">
        <v>9006</v>
      </c>
      <c r="AC625" t="s">
        <v>74</v>
      </c>
      <c r="AD625" t="s">
        <v>74</v>
      </c>
      <c r="AE625" t="s">
        <v>74</v>
      </c>
      <c r="AF625" t="s">
        <v>74</v>
      </c>
      <c r="AG625">
        <v>20</v>
      </c>
      <c r="AH625">
        <v>41</v>
      </c>
      <c r="AI625">
        <v>42</v>
      </c>
      <c r="AJ625">
        <v>1</v>
      </c>
      <c r="AK625">
        <v>3</v>
      </c>
      <c r="AL625" t="s">
        <v>539</v>
      </c>
      <c r="AM625" t="s">
        <v>540</v>
      </c>
      <c r="AN625" t="s">
        <v>541</v>
      </c>
      <c r="AO625" t="s">
        <v>542</v>
      </c>
      <c r="AP625" t="s">
        <v>74</v>
      </c>
      <c r="AQ625" t="s">
        <v>74</v>
      </c>
      <c r="AR625" t="s">
        <v>544</v>
      </c>
      <c r="AS625" t="s">
        <v>545</v>
      </c>
      <c r="AT625" t="s">
        <v>9007</v>
      </c>
      <c r="AU625">
        <v>2003</v>
      </c>
      <c r="AV625">
        <v>30</v>
      </c>
      <c r="AW625">
        <v>7</v>
      </c>
      <c r="AX625" t="s">
        <v>74</v>
      </c>
      <c r="AY625" t="s">
        <v>74</v>
      </c>
      <c r="AZ625" t="s">
        <v>74</v>
      </c>
      <c r="BA625" t="s">
        <v>74</v>
      </c>
      <c r="BB625" t="s">
        <v>74</v>
      </c>
      <c r="BC625" t="s">
        <v>74</v>
      </c>
      <c r="BD625">
        <v>1401</v>
      </c>
      <c r="BE625" t="s">
        <v>9008</v>
      </c>
      <c r="BF625" t="str">
        <f>HYPERLINK("http://dx.doi.org/10.1029/2002GL016813","http://dx.doi.org/10.1029/2002GL016813")</f>
        <v>http://dx.doi.org/10.1029/2002GL016813</v>
      </c>
      <c r="BG625" t="s">
        <v>74</v>
      </c>
      <c r="BH625" t="s">
        <v>74</v>
      </c>
      <c r="BI625">
        <v>4</v>
      </c>
      <c r="BJ625" t="s">
        <v>548</v>
      </c>
      <c r="BK625" t="s">
        <v>94</v>
      </c>
      <c r="BL625" t="s">
        <v>549</v>
      </c>
      <c r="BM625" t="s">
        <v>9009</v>
      </c>
      <c r="BN625" t="s">
        <v>74</v>
      </c>
      <c r="BO625" t="s">
        <v>9010</v>
      </c>
      <c r="BP625" t="s">
        <v>74</v>
      </c>
      <c r="BQ625" t="s">
        <v>74</v>
      </c>
      <c r="BR625" t="s">
        <v>97</v>
      </c>
      <c r="BS625" t="s">
        <v>9011</v>
      </c>
      <c r="BT625" t="str">
        <f>HYPERLINK("https%3A%2F%2Fwww.webofscience.com%2Fwos%2Fwoscc%2Ffull-record%2FWOS:000182348200006","View Full Record in Web of Science")</f>
        <v>View Full Record in Web of Science</v>
      </c>
    </row>
    <row r="626" spans="1:72" x14ac:dyDescent="0.15">
      <c r="A626" t="s">
        <v>72</v>
      </c>
      <c r="B626" t="s">
        <v>9012</v>
      </c>
      <c r="C626" t="s">
        <v>74</v>
      </c>
      <c r="D626" t="s">
        <v>74</v>
      </c>
      <c r="E626" t="s">
        <v>74</v>
      </c>
      <c r="F626" t="s">
        <v>9012</v>
      </c>
      <c r="G626" t="s">
        <v>74</v>
      </c>
      <c r="H626" t="s">
        <v>74</v>
      </c>
      <c r="I626" t="s">
        <v>9013</v>
      </c>
      <c r="J626" t="s">
        <v>530</v>
      </c>
      <c r="K626" t="s">
        <v>74</v>
      </c>
      <c r="L626" t="s">
        <v>74</v>
      </c>
      <c r="M626" t="s">
        <v>77</v>
      </c>
      <c r="N626" t="s">
        <v>78</v>
      </c>
      <c r="O626" t="s">
        <v>74</v>
      </c>
      <c r="P626" t="s">
        <v>74</v>
      </c>
      <c r="Q626" t="s">
        <v>74</v>
      </c>
      <c r="R626" t="s">
        <v>74</v>
      </c>
      <c r="S626" t="s">
        <v>74</v>
      </c>
      <c r="T626" t="s">
        <v>74</v>
      </c>
      <c r="U626" t="s">
        <v>9014</v>
      </c>
      <c r="V626" t="s">
        <v>9015</v>
      </c>
      <c r="W626" t="s">
        <v>9016</v>
      </c>
      <c r="X626" t="s">
        <v>9017</v>
      </c>
      <c r="Y626" t="s">
        <v>9018</v>
      </c>
      <c r="Z626" t="s">
        <v>9019</v>
      </c>
      <c r="AA626" t="s">
        <v>9020</v>
      </c>
      <c r="AB626" t="s">
        <v>5913</v>
      </c>
      <c r="AC626" t="s">
        <v>74</v>
      </c>
      <c r="AD626" t="s">
        <v>74</v>
      </c>
      <c r="AE626" t="s">
        <v>74</v>
      </c>
      <c r="AF626" t="s">
        <v>74</v>
      </c>
      <c r="AG626">
        <v>14</v>
      </c>
      <c r="AH626">
        <v>68</v>
      </c>
      <c r="AI626">
        <v>70</v>
      </c>
      <c r="AJ626">
        <v>0</v>
      </c>
      <c r="AK626">
        <v>4</v>
      </c>
      <c r="AL626" t="s">
        <v>539</v>
      </c>
      <c r="AM626" t="s">
        <v>540</v>
      </c>
      <c r="AN626" t="s">
        <v>541</v>
      </c>
      <c r="AO626" t="s">
        <v>542</v>
      </c>
      <c r="AP626" t="s">
        <v>543</v>
      </c>
      <c r="AQ626" t="s">
        <v>74</v>
      </c>
      <c r="AR626" t="s">
        <v>544</v>
      </c>
      <c r="AS626" t="s">
        <v>545</v>
      </c>
      <c r="AT626" t="s">
        <v>9021</v>
      </c>
      <c r="AU626">
        <v>2003</v>
      </c>
      <c r="AV626">
        <v>30</v>
      </c>
      <c r="AW626">
        <v>7</v>
      </c>
      <c r="AX626" t="s">
        <v>74</v>
      </c>
      <c r="AY626" t="s">
        <v>74</v>
      </c>
      <c r="AZ626" t="s">
        <v>74</v>
      </c>
      <c r="BA626" t="s">
        <v>74</v>
      </c>
      <c r="BB626" t="s">
        <v>74</v>
      </c>
      <c r="BC626" t="s">
        <v>74</v>
      </c>
      <c r="BD626">
        <v>1394</v>
      </c>
      <c r="BE626" t="s">
        <v>9022</v>
      </c>
      <c r="BF626" t="str">
        <f>HYPERLINK("http://dx.doi.org/10.1029/2003GL016899","http://dx.doi.org/10.1029/2003GL016899")</f>
        <v>http://dx.doi.org/10.1029/2003GL016899</v>
      </c>
      <c r="BG626" t="s">
        <v>74</v>
      </c>
      <c r="BH626" t="s">
        <v>74</v>
      </c>
      <c r="BI626">
        <v>4</v>
      </c>
      <c r="BJ626" t="s">
        <v>548</v>
      </c>
      <c r="BK626" t="s">
        <v>94</v>
      </c>
      <c r="BL626" t="s">
        <v>549</v>
      </c>
      <c r="BM626" t="s">
        <v>9023</v>
      </c>
      <c r="BN626" t="s">
        <v>74</v>
      </c>
      <c r="BO626" t="s">
        <v>96</v>
      </c>
      <c r="BP626" t="s">
        <v>74</v>
      </c>
      <c r="BQ626" t="s">
        <v>74</v>
      </c>
      <c r="BR626" t="s">
        <v>97</v>
      </c>
      <c r="BS626" t="s">
        <v>9024</v>
      </c>
      <c r="BT626" t="str">
        <f>HYPERLINK("https%3A%2F%2Fwww.webofscience.com%2Fwos%2Fwoscc%2Ffull-record%2FWOS:000182348000005","View Full Record in Web of Science")</f>
        <v>View Full Record in Web of Science</v>
      </c>
    </row>
    <row r="627" spans="1:72" x14ac:dyDescent="0.15">
      <c r="A627" t="s">
        <v>72</v>
      </c>
      <c r="B627" t="s">
        <v>9025</v>
      </c>
      <c r="C627" t="s">
        <v>74</v>
      </c>
      <c r="D627" t="s">
        <v>74</v>
      </c>
      <c r="E627" t="s">
        <v>74</v>
      </c>
      <c r="F627" t="s">
        <v>9025</v>
      </c>
      <c r="G627" t="s">
        <v>74</v>
      </c>
      <c r="H627" t="s">
        <v>74</v>
      </c>
      <c r="I627" t="s">
        <v>9026</v>
      </c>
      <c r="J627" t="s">
        <v>9027</v>
      </c>
      <c r="K627" t="s">
        <v>74</v>
      </c>
      <c r="L627" t="s">
        <v>74</v>
      </c>
      <c r="M627" t="s">
        <v>77</v>
      </c>
      <c r="N627" t="s">
        <v>78</v>
      </c>
      <c r="O627" t="s">
        <v>74</v>
      </c>
      <c r="P627" t="s">
        <v>74</v>
      </c>
      <c r="Q627" t="s">
        <v>74</v>
      </c>
      <c r="R627" t="s">
        <v>74</v>
      </c>
      <c r="S627" t="s">
        <v>74</v>
      </c>
      <c r="T627" t="s">
        <v>9028</v>
      </c>
      <c r="U627" t="s">
        <v>9029</v>
      </c>
      <c r="V627" t="s">
        <v>9030</v>
      </c>
      <c r="W627" t="s">
        <v>9031</v>
      </c>
      <c r="X627" t="s">
        <v>9032</v>
      </c>
      <c r="Y627" t="s">
        <v>74</v>
      </c>
      <c r="Z627" t="s">
        <v>9033</v>
      </c>
      <c r="AA627" t="s">
        <v>9034</v>
      </c>
      <c r="AB627" t="s">
        <v>9035</v>
      </c>
      <c r="AC627" t="s">
        <v>74</v>
      </c>
      <c r="AD627" t="s">
        <v>74</v>
      </c>
      <c r="AE627" t="s">
        <v>74</v>
      </c>
      <c r="AF627" t="s">
        <v>74</v>
      </c>
      <c r="AG627">
        <v>20</v>
      </c>
      <c r="AH627">
        <v>6</v>
      </c>
      <c r="AI627">
        <v>8</v>
      </c>
      <c r="AJ627">
        <v>1</v>
      </c>
      <c r="AK627">
        <v>6</v>
      </c>
      <c r="AL627" t="s">
        <v>1571</v>
      </c>
      <c r="AM627" t="s">
        <v>229</v>
      </c>
      <c r="AN627" t="s">
        <v>6371</v>
      </c>
      <c r="AO627" t="s">
        <v>9036</v>
      </c>
      <c r="AP627" t="s">
        <v>9037</v>
      </c>
      <c r="AQ627" t="s">
        <v>74</v>
      </c>
      <c r="AR627" t="s">
        <v>9038</v>
      </c>
      <c r="AS627" t="s">
        <v>9039</v>
      </c>
      <c r="AT627" t="s">
        <v>9040</v>
      </c>
      <c r="AU627">
        <v>2003</v>
      </c>
      <c r="AV627">
        <v>32</v>
      </c>
      <c r="AW627">
        <v>5</v>
      </c>
      <c r="AX627" t="s">
        <v>74</v>
      </c>
      <c r="AY627" t="s">
        <v>74</v>
      </c>
      <c r="AZ627" t="s">
        <v>74</v>
      </c>
      <c r="BA627" t="s">
        <v>74</v>
      </c>
      <c r="BB627">
        <v>532</v>
      </c>
      <c r="BC627">
        <v>538</v>
      </c>
      <c r="BD627" t="s">
        <v>74</v>
      </c>
      <c r="BE627" t="s">
        <v>9041</v>
      </c>
      <c r="BF627" t="str">
        <f>HYPERLINK("http://dx.doi.org/10.1016/S0141-0229(02)00339-3","http://dx.doi.org/10.1016/S0141-0229(02)00339-3")</f>
        <v>http://dx.doi.org/10.1016/S0141-0229(02)00339-3</v>
      </c>
      <c r="BG627" t="s">
        <v>74</v>
      </c>
      <c r="BH627" t="s">
        <v>74</v>
      </c>
      <c r="BI627">
        <v>7</v>
      </c>
      <c r="BJ627" t="s">
        <v>9042</v>
      </c>
      <c r="BK627" t="s">
        <v>94</v>
      </c>
      <c r="BL627" t="s">
        <v>9042</v>
      </c>
      <c r="BM627" t="s">
        <v>9043</v>
      </c>
      <c r="BN627" t="s">
        <v>74</v>
      </c>
      <c r="BO627" t="s">
        <v>74</v>
      </c>
      <c r="BP627" t="s">
        <v>74</v>
      </c>
      <c r="BQ627" t="s">
        <v>74</v>
      </c>
      <c r="BR627" t="s">
        <v>97</v>
      </c>
      <c r="BS627" t="s">
        <v>9044</v>
      </c>
      <c r="BT627" t="str">
        <f>HYPERLINK("https%3A%2F%2Fwww.webofscience.com%2Fwos%2Fwoscc%2Ffull-record%2FWOS:000181908500005","View Full Record in Web of Science")</f>
        <v>View Full Record in Web of Science</v>
      </c>
    </row>
    <row r="628" spans="1:72" x14ac:dyDescent="0.15">
      <c r="A628" t="s">
        <v>72</v>
      </c>
      <c r="B628" t="s">
        <v>9045</v>
      </c>
      <c r="C628" t="s">
        <v>74</v>
      </c>
      <c r="D628" t="s">
        <v>74</v>
      </c>
      <c r="E628" t="s">
        <v>74</v>
      </c>
      <c r="F628" t="s">
        <v>9045</v>
      </c>
      <c r="G628" t="s">
        <v>74</v>
      </c>
      <c r="H628" t="s">
        <v>74</v>
      </c>
      <c r="I628" t="s">
        <v>9046</v>
      </c>
      <c r="J628" t="s">
        <v>2922</v>
      </c>
      <c r="K628" t="s">
        <v>74</v>
      </c>
      <c r="L628" t="s">
        <v>74</v>
      </c>
      <c r="M628" t="s">
        <v>77</v>
      </c>
      <c r="N628" t="s">
        <v>78</v>
      </c>
      <c r="O628" t="s">
        <v>74</v>
      </c>
      <c r="P628" t="s">
        <v>74</v>
      </c>
      <c r="Q628" t="s">
        <v>74</v>
      </c>
      <c r="R628" t="s">
        <v>74</v>
      </c>
      <c r="S628" t="s">
        <v>74</v>
      </c>
      <c r="T628" t="s">
        <v>9047</v>
      </c>
      <c r="U628" t="s">
        <v>9048</v>
      </c>
      <c r="V628" t="s">
        <v>9049</v>
      </c>
      <c r="W628" t="s">
        <v>9050</v>
      </c>
      <c r="X628" t="s">
        <v>9051</v>
      </c>
      <c r="Y628" t="s">
        <v>9052</v>
      </c>
      <c r="Z628" t="s">
        <v>2200</v>
      </c>
      <c r="AA628" t="s">
        <v>7049</v>
      </c>
      <c r="AB628" t="s">
        <v>9053</v>
      </c>
      <c r="AC628" t="s">
        <v>74</v>
      </c>
      <c r="AD628" t="s">
        <v>74</v>
      </c>
      <c r="AE628" t="s">
        <v>74</v>
      </c>
      <c r="AF628" t="s">
        <v>74</v>
      </c>
      <c r="AG628">
        <v>92</v>
      </c>
      <c r="AH628">
        <v>42</v>
      </c>
      <c r="AI628">
        <v>46</v>
      </c>
      <c r="AJ628">
        <v>0</v>
      </c>
      <c r="AK628">
        <v>7</v>
      </c>
      <c r="AL628" t="s">
        <v>110</v>
      </c>
      <c r="AM628" t="s">
        <v>111</v>
      </c>
      <c r="AN628" t="s">
        <v>112</v>
      </c>
      <c r="AO628" t="s">
        <v>2931</v>
      </c>
      <c r="AP628" t="s">
        <v>2932</v>
      </c>
      <c r="AQ628" t="s">
        <v>74</v>
      </c>
      <c r="AR628" t="s">
        <v>2933</v>
      </c>
      <c r="AS628" t="s">
        <v>2934</v>
      </c>
      <c r="AT628" t="s">
        <v>9040</v>
      </c>
      <c r="AU628">
        <v>2003</v>
      </c>
      <c r="AV628">
        <v>288</v>
      </c>
      <c r="AW628">
        <v>2</v>
      </c>
      <c r="AX628" t="s">
        <v>74</v>
      </c>
      <c r="AY628" t="s">
        <v>74</v>
      </c>
      <c r="AZ628" t="s">
        <v>74</v>
      </c>
      <c r="BA628" t="s">
        <v>74</v>
      </c>
      <c r="BB628">
        <v>239</v>
      </c>
      <c r="BC628">
        <v>256</v>
      </c>
      <c r="BD628" t="s">
        <v>74</v>
      </c>
      <c r="BE628" t="s">
        <v>9054</v>
      </c>
      <c r="BF628" t="str">
        <f>HYPERLINK("http://dx.doi.org/10.1016/S0022-0981(03)00020-0","http://dx.doi.org/10.1016/S0022-0981(03)00020-0")</f>
        <v>http://dx.doi.org/10.1016/S0022-0981(03)00020-0</v>
      </c>
      <c r="BG628" t="s">
        <v>74</v>
      </c>
      <c r="BH628" t="s">
        <v>74</v>
      </c>
      <c r="BI628">
        <v>18</v>
      </c>
      <c r="BJ628" t="s">
        <v>485</v>
      </c>
      <c r="BK628" t="s">
        <v>94</v>
      </c>
      <c r="BL628" t="s">
        <v>486</v>
      </c>
      <c r="BM628" t="s">
        <v>9055</v>
      </c>
      <c r="BN628" t="s">
        <v>74</v>
      </c>
      <c r="BO628" t="s">
        <v>154</v>
      </c>
      <c r="BP628" t="s">
        <v>74</v>
      </c>
      <c r="BQ628" t="s">
        <v>74</v>
      </c>
      <c r="BR628" t="s">
        <v>97</v>
      </c>
      <c r="BS628" t="s">
        <v>9056</v>
      </c>
      <c r="BT628" t="str">
        <f>HYPERLINK("https%3A%2F%2Fwww.webofscience.com%2Fwos%2Fwoscc%2Ffull-record%2FWOS:000181948300006","View Full Record in Web of Science")</f>
        <v>View Full Record in Web of Science</v>
      </c>
    </row>
    <row r="629" spans="1:72" x14ac:dyDescent="0.15">
      <c r="A629" t="s">
        <v>72</v>
      </c>
      <c r="B629" t="s">
        <v>9057</v>
      </c>
      <c r="C629" t="s">
        <v>74</v>
      </c>
      <c r="D629" t="s">
        <v>74</v>
      </c>
      <c r="E629" t="s">
        <v>74</v>
      </c>
      <c r="F629" t="s">
        <v>9057</v>
      </c>
      <c r="G629" t="s">
        <v>74</v>
      </c>
      <c r="H629" t="s">
        <v>74</v>
      </c>
      <c r="I629" t="s">
        <v>9058</v>
      </c>
      <c r="J629" t="s">
        <v>9059</v>
      </c>
      <c r="K629" t="s">
        <v>74</v>
      </c>
      <c r="L629" t="s">
        <v>74</v>
      </c>
      <c r="M629" t="s">
        <v>77</v>
      </c>
      <c r="N629" t="s">
        <v>78</v>
      </c>
      <c r="O629" t="s">
        <v>74</v>
      </c>
      <c r="P629" t="s">
        <v>74</v>
      </c>
      <c r="Q629" t="s">
        <v>74</v>
      </c>
      <c r="R629" t="s">
        <v>74</v>
      </c>
      <c r="S629" t="s">
        <v>74</v>
      </c>
      <c r="T629" t="s">
        <v>9060</v>
      </c>
      <c r="U629" t="s">
        <v>9061</v>
      </c>
      <c r="V629" t="s">
        <v>9062</v>
      </c>
      <c r="W629" t="s">
        <v>9063</v>
      </c>
      <c r="X629" t="s">
        <v>9064</v>
      </c>
      <c r="Y629" t="s">
        <v>9065</v>
      </c>
      <c r="Z629" t="s">
        <v>9066</v>
      </c>
      <c r="AA629" t="s">
        <v>74</v>
      </c>
      <c r="AB629" t="s">
        <v>9067</v>
      </c>
      <c r="AC629" t="s">
        <v>74</v>
      </c>
      <c r="AD629" t="s">
        <v>74</v>
      </c>
      <c r="AE629" t="s">
        <v>74</v>
      </c>
      <c r="AF629" t="s">
        <v>74</v>
      </c>
      <c r="AG629">
        <v>36</v>
      </c>
      <c r="AH629">
        <v>14</v>
      </c>
      <c r="AI629">
        <v>15</v>
      </c>
      <c r="AJ629">
        <v>0</v>
      </c>
      <c r="AK629">
        <v>2</v>
      </c>
      <c r="AL629" t="s">
        <v>781</v>
      </c>
      <c r="AM629" t="s">
        <v>111</v>
      </c>
      <c r="AN629" t="s">
        <v>782</v>
      </c>
      <c r="AO629" t="s">
        <v>9068</v>
      </c>
      <c r="AP629" t="s">
        <v>9069</v>
      </c>
      <c r="AQ629" t="s">
        <v>74</v>
      </c>
      <c r="AR629" t="s">
        <v>9070</v>
      </c>
      <c r="AS629" t="s">
        <v>9071</v>
      </c>
      <c r="AT629" t="s">
        <v>9072</v>
      </c>
      <c r="AU629">
        <v>2003</v>
      </c>
      <c r="AV629">
        <v>1621</v>
      </c>
      <c r="AW629">
        <v>1</v>
      </c>
      <c r="AX629" t="s">
        <v>74</v>
      </c>
      <c r="AY629" t="s">
        <v>74</v>
      </c>
      <c r="AZ629" t="s">
        <v>74</v>
      </c>
      <c r="BA629" t="s">
        <v>74</v>
      </c>
      <c r="BB629">
        <v>17</v>
      </c>
      <c r="BC629">
        <v>21</v>
      </c>
      <c r="BD629" t="s">
        <v>74</v>
      </c>
      <c r="BE629" t="s">
        <v>9073</v>
      </c>
      <c r="BF629" t="str">
        <f>HYPERLINK("http://dx.doi.org/10.1016/S0304-4165(03)00011-4","http://dx.doi.org/10.1016/S0304-4165(03)00011-4")</f>
        <v>http://dx.doi.org/10.1016/S0304-4165(03)00011-4</v>
      </c>
      <c r="BG629" t="s">
        <v>74</v>
      </c>
      <c r="BH629" t="s">
        <v>74</v>
      </c>
      <c r="BI629">
        <v>5</v>
      </c>
      <c r="BJ629" t="s">
        <v>5237</v>
      </c>
      <c r="BK629" t="s">
        <v>94</v>
      </c>
      <c r="BL629" t="s">
        <v>5237</v>
      </c>
      <c r="BM629" t="s">
        <v>9074</v>
      </c>
      <c r="BN629">
        <v>12667606</v>
      </c>
      <c r="BO629" t="s">
        <v>74</v>
      </c>
      <c r="BP629" t="s">
        <v>74</v>
      </c>
      <c r="BQ629" t="s">
        <v>74</v>
      </c>
      <c r="BR629" t="s">
        <v>97</v>
      </c>
      <c r="BS629" t="s">
        <v>9075</v>
      </c>
      <c r="BT629" t="str">
        <f>HYPERLINK("https%3A%2F%2Fwww.webofscience.com%2Fwos%2Fwoscc%2Ffull-record%2FWOS:000182035900003","View Full Record in Web of Science")</f>
        <v>View Full Record in Web of Science</v>
      </c>
    </row>
    <row r="630" spans="1:72" x14ac:dyDescent="0.15">
      <c r="A630" t="s">
        <v>72</v>
      </c>
      <c r="B630" t="s">
        <v>9076</v>
      </c>
      <c r="C630" t="s">
        <v>74</v>
      </c>
      <c r="D630" t="s">
        <v>74</v>
      </c>
      <c r="E630" t="s">
        <v>74</v>
      </c>
      <c r="F630" t="s">
        <v>9076</v>
      </c>
      <c r="G630" t="s">
        <v>74</v>
      </c>
      <c r="H630" t="s">
        <v>74</v>
      </c>
      <c r="I630" t="s">
        <v>9077</v>
      </c>
      <c r="J630" t="s">
        <v>530</v>
      </c>
      <c r="K630" t="s">
        <v>74</v>
      </c>
      <c r="L630" t="s">
        <v>74</v>
      </c>
      <c r="M630" t="s">
        <v>77</v>
      </c>
      <c r="N630" t="s">
        <v>78</v>
      </c>
      <c r="O630" t="s">
        <v>74</v>
      </c>
      <c r="P630" t="s">
        <v>74</v>
      </c>
      <c r="Q630" t="s">
        <v>74</v>
      </c>
      <c r="R630" t="s">
        <v>74</v>
      </c>
      <c r="S630" t="s">
        <v>74</v>
      </c>
      <c r="T630" t="s">
        <v>74</v>
      </c>
      <c r="U630" t="s">
        <v>9078</v>
      </c>
      <c r="V630" t="s">
        <v>9079</v>
      </c>
      <c r="W630" t="s">
        <v>9080</v>
      </c>
      <c r="X630" t="s">
        <v>9081</v>
      </c>
      <c r="Y630" t="s">
        <v>9082</v>
      </c>
      <c r="Z630" t="s">
        <v>9083</v>
      </c>
      <c r="AA630" t="s">
        <v>9084</v>
      </c>
      <c r="AB630" t="s">
        <v>74</v>
      </c>
      <c r="AC630" t="s">
        <v>74</v>
      </c>
      <c r="AD630" t="s">
        <v>74</v>
      </c>
      <c r="AE630" t="s">
        <v>74</v>
      </c>
      <c r="AF630" t="s">
        <v>74</v>
      </c>
      <c r="AG630">
        <v>14</v>
      </c>
      <c r="AH630">
        <v>22</v>
      </c>
      <c r="AI630">
        <v>23</v>
      </c>
      <c r="AJ630">
        <v>0</v>
      </c>
      <c r="AK630">
        <v>1</v>
      </c>
      <c r="AL630" t="s">
        <v>539</v>
      </c>
      <c r="AM630" t="s">
        <v>540</v>
      </c>
      <c r="AN630" t="s">
        <v>541</v>
      </c>
      <c r="AO630" t="s">
        <v>542</v>
      </c>
      <c r="AP630" t="s">
        <v>543</v>
      </c>
      <c r="AQ630" t="s">
        <v>74</v>
      </c>
      <c r="AR630" t="s">
        <v>544</v>
      </c>
      <c r="AS630" t="s">
        <v>545</v>
      </c>
      <c r="AT630" t="s">
        <v>9085</v>
      </c>
      <c r="AU630">
        <v>2003</v>
      </c>
      <c r="AV630">
        <v>30</v>
      </c>
      <c r="AW630">
        <v>7</v>
      </c>
      <c r="AX630" t="s">
        <v>74</v>
      </c>
      <c r="AY630" t="s">
        <v>74</v>
      </c>
      <c r="AZ630" t="s">
        <v>74</v>
      </c>
      <c r="BA630" t="s">
        <v>74</v>
      </c>
      <c r="BB630" t="s">
        <v>74</v>
      </c>
      <c r="BC630" t="s">
        <v>74</v>
      </c>
      <c r="BD630">
        <v>1377</v>
      </c>
      <c r="BE630" t="s">
        <v>9086</v>
      </c>
      <c r="BF630" t="str">
        <f>HYPERLINK("http://dx.doi.org/10.1029/2002GL016364","http://dx.doi.org/10.1029/2002GL016364")</f>
        <v>http://dx.doi.org/10.1029/2002GL016364</v>
      </c>
      <c r="BG630" t="s">
        <v>74</v>
      </c>
      <c r="BH630" t="s">
        <v>74</v>
      </c>
      <c r="BI630">
        <v>4</v>
      </c>
      <c r="BJ630" t="s">
        <v>548</v>
      </c>
      <c r="BK630" t="s">
        <v>94</v>
      </c>
      <c r="BL630" t="s">
        <v>549</v>
      </c>
      <c r="BM630" t="s">
        <v>9087</v>
      </c>
      <c r="BN630" t="s">
        <v>74</v>
      </c>
      <c r="BO630" t="s">
        <v>96</v>
      </c>
      <c r="BP630" t="s">
        <v>74</v>
      </c>
      <c r="BQ630" t="s">
        <v>74</v>
      </c>
      <c r="BR630" t="s">
        <v>97</v>
      </c>
      <c r="BS630" t="s">
        <v>9088</v>
      </c>
      <c r="BT630" t="str">
        <f>HYPERLINK("https%3A%2F%2Fwww.webofscience.com%2Fwos%2Fwoscc%2Ffull-record%2FWOS:000182238100004","View Full Record in Web of Science")</f>
        <v>View Full Record in Web of Science</v>
      </c>
    </row>
    <row r="631" spans="1:72" x14ac:dyDescent="0.15">
      <c r="A631" t="s">
        <v>72</v>
      </c>
      <c r="B631" t="s">
        <v>9089</v>
      </c>
      <c r="C631" t="s">
        <v>74</v>
      </c>
      <c r="D631" t="s">
        <v>74</v>
      </c>
      <c r="E631" t="s">
        <v>74</v>
      </c>
      <c r="F631" t="s">
        <v>9089</v>
      </c>
      <c r="G631" t="s">
        <v>74</v>
      </c>
      <c r="H631" t="s">
        <v>74</v>
      </c>
      <c r="I631" t="s">
        <v>9090</v>
      </c>
      <c r="J631" t="s">
        <v>530</v>
      </c>
      <c r="K631" t="s">
        <v>74</v>
      </c>
      <c r="L631" t="s">
        <v>74</v>
      </c>
      <c r="M631" t="s">
        <v>77</v>
      </c>
      <c r="N631" t="s">
        <v>78</v>
      </c>
      <c r="O631" t="s">
        <v>74</v>
      </c>
      <c r="P631" t="s">
        <v>74</v>
      </c>
      <c r="Q631" t="s">
        <v>74</v>
      </c>
      <c r="R631" t="s">
        <v>74</v>
      </c>
      <c r="S631" t="s">
        <v>74</v>
      </c>
      <c r="T631" t="s">
        <v>74</v>
      </c>
      <c r="U631" t="s">
        <v>9091</v>
      </c>
      <c r="V631" t="s">
        <v>9092</v>
      </c>
      <c r="W631" t="s">
        <v>9093</v>
      </c>
      <c r="X631" t="s">
        <v>5080</v>
      </c>
      <c r="Y631" t="s">
        <v>9094</v>
      </c>
      <c r="Z631" t="s">
        <v>74</v>
      </c>
      <c r="AA631" t="s">
        <v>9095</v>
      </c>
      <c r="AB631" t="s">
        <v>9096</v>
      </c>
      <c r="AC631" t="s">
        <v>74</v>
      </c>
      <c r="AD631" t="s">
        <v>74</v>
      </c>
      <c r="AE631" t="s">
        <v>74</v>
      </c>
      <c r="AF631" t="s">
        <v>74</v>
      </c>
      <c r="AG631">
        <v>19</v>
      </c>
      <c r="AH631">
        <v>1</v>
      </c>
      <c r="AI631">
        <v>1</v>
      </c>
      <c r="AJ631">
        <v>0</v>
      </c>
      <c r="AK631">
        <v>1</v>
      </c>
      <c r="AL631" t="s">
        <v>539</v>
      </c>
      <c r="AM631" t="s">
        <v>540</v>
      </c>
      <c r="AN631" t="s">
        <v>541</v>
      </c>
      <c r="AO631" t="s">
        <v>542</v>
      </c>
      <c r="AP631" t="s">
        <v>543</v>
      </c>
      <c r="AQ631" t="s">
        <v>74</v>
      </c>
      <c r="AR631" t="s">
        <v>544</v>
      </c>
      <c r="AS631" t="s">
        <v>545</v>
      </c>
      <c r="AT631" t="s">
        <v>9097</v>
      </c>
      <c r="AU631">
        <v>2003</v>
      </c>
      <c r="AV631">
        <v>30</v>
      </c>
      <c r="AW631">
        <v>7</v>
      </c>
      <c r="AX631" t="s">
        <v>74</v>
      </c>
      <c r="AY631" t="s">
        <v>74</v>
      </c>
      <c r="AZ631" t="s">
        <v>74</v>
      </c>
      <c r="BA631" t="s">
        <v>74</v>
      </c>
      <c r="BB631" t="s">
        <v>74</v>
      </c>
      <c r="BC631" t="s">
        <v>74</v>
      </c>
      <c r="BD631">
        <v>1368</v>
      </c>
      <c r="BE631" t="s">
        <v>9098</v>
      </c>
      <c r="BF631" t="str">
        <f>HYPERLINK("http://dx.doi.org/10.1029/2002GL016494","http://dx.doi.org/10.1029/2002GL016494")</f>
        <v>http://dx.doi.org/10.1029/2002GL016494</v>
      </c>
      <c r="BG631" t="s">
        <v>74</v>
      </c>
      <c r="BH631" t="s">
        <v>74</v>
      </c>
      <c r="BI631">
        <v>4</v>
      </c>
      <c r="BJ631" t="s">
        <v>548</v>
      </c>
      <c r="BK631" t="s">
        <v>94</v>
      </c>
      <c r="BL631" t="s">
        <v>549</v>
      </c>
      <c r="BM631" t="s">
        <v>9099</v>
      </c>
      <c r="BN631" t="s">
        <v>74</v>
      </c>
      <c r="BO631" t="s">
        <v>141</v>
      </c>
      <c r="BP631" t="s">
        <v>74</v>
      </c>
      <c r="BQ631" t="s">
        <v>74</v>
      </c>
      <c r="BR631" t="s">
        <v>97</v>
      </c>
      <c r="BS631" t="s">
        <v>9100</v>
      </c>
      <c r="BT631" t="str">
        <f>HYPERLINK("https%3A%2F%2Fwww.webofscience.com%2Fwos%2Fwoscc%2Ffull-record%2FWOS:000182237900002","View Full Record in Web of Science")</f>
        <v>View Full Record in Web of Science</v>
      </c>
    </row>
    <row r="632" spans="1:72" x14ac:dyDescent="0.15">
      <c r="A632" t="s">
        <v>72</v>
      </c>
      <c r="B632" t="s">
        <v>9101</v>
      </c>
      <c r="C632" t="s">
        <v>74</v>
      </c>
      <c r="D632" t="s">
        <v>74</v>
      </c>
      <c r="E632" t="s">
        <v>74</v>
      </c>
      <c r="F632" t="s">
        <v>9101</v>
      </c>
      <c r="G632" t="s">
        <v>74</v>
      </c>
      <c r="H632" t="s">
        <v>74</v>
      </c>
      <c r="I632" t="s">
        <v>9102</v>
      </c>
      <c r="J632" t="s">
        <v>645</v>
      </c>
      <c r="K632" t="s">
        <v>74</v>
      </c>
      <c r="L632" t="s">
        <v>74</v>
      </c>
      <c r="M632" t="s">
        <v>77</v>
      </c>
      <c r="N632" t="s">
        <v>78</v>
      </c>
      <c r="O632" t="s">
        <v>74</v>
      </c>
      <c r="P632" t="s">
        <v>74</v>
      </c>
      <c r="Q632" t="s">
        <v>74</v>
      </c>
      <c r="R632" t="s">
        <v>74</v>
      </c>
      <c r="S632" t="s">
        <v>74</v>
      </c>
      <c r="T632" t="s">
        <v>9103</v>
      </c>
      <c r="U632" t="s">
        <v>9104</v>
      </c>
      <c r="V632" t="s">
        <v>9105</v>
      </c>
      <c r="W632" t="s">
        <v>9106</v>
      </c>
      <c r="X632" t="s">
        <v>9107</v>
      </c>
      <c r="Y632" t="s">
        <v>9108</v>
      </c>
      <c r="Z632" t="s">
        <v>9109</v>
      </c>
      <c r="AA632" t="s">
        <v>9110</v>
      </c>
      <c r="AB632" t="s">
        <v>9111</v>
      </c>
      <c r="AC632" t="s">
        <v>74</v>
      </c>
      <c r="AD632" t="s">
        <v>74</v>
      </c>
      <c r="AE632" t="s">
        <v>74</v>
      </c>
      <c r="AF632" t="s">
        <v>74</v>
      </c>
      <c r="AG632">
        <v>26</v>
      </c>
      <c r="AH632">
        <v>23</v>
      </c>
      <c r="AI632">
        <v>26</v>
      </c>
      <c r="AJ632">
        <v>1</v>
      </c>
      <c r="AK632">
        <v>4</v>
      </c>
      <c r="AL632" t="s">
        <v>539</v>
      </c>
      <c r="AM632" t="s">
        <v>540</v>
      </c>
      <c r="AN632" t="s">
        <v>541</v>
      </c>
      <c r="AO632" t="s">
        <v>653</v>
      </c>
      <c r="AP632" t="s">
        <v>654</v>
      </c>
      <c r="AQ632" t="s">
        <v>74</v>
      </c>
      <c r="AR632" t="s">
        <v>655</v>
      </c>
      <c r="AS632" t="s">
        <v>656</v>
      </c>
      <c r="AT632" t="s">
        <v>9097</v>
      </c>
      <c r="AU632">
        <v>2003</v>
      </c>
      <c r="AV632">
        <v>17</v>
      </c>
      <c r="AW632">
        <v>2</v>
      </c>
      <c r="AX632" t="s">
        <v>74</v>
      </c>
      <c r="AY632" t="s">
        <v>74</v>
      </c>
      <c r="AZ632" t="s">
        <v>74</v>
      </c>
      <c r="BA632" t="s">
        <v>74</v>
      </c>
      <c r="BB632" t="s">
        <v>74</v>
      </c>
      <c r="BC632" t="s">
        <v>74</v>
      </c>
      <c r="BD632">
        <v>1033</v>
      </c>
      <c r="BE632" t="s">
        <v>9112</v>
      </c>
      <c r="BF632" t="str">
        <f>HYPERLINK("http://dx.doi.org/10.1029/2000GB001317","http://dx.doi.org/10.1029/2000GB001317")</f>
        <v>http://dx.doi.org/10.1029/2000GB001317</v>
      </c>
      <c r="BG632" t="s">
        <v>74</v>
      </c>
      <c r="BH632" t="s">
        <v>74</v>
      </c>
      <c r="BI632">
        <v>11</v>
      </c>
      <c r="BJ632" t="s">
        <v>659</v>
      </c>
      <c r="BK632" t="s">
        <v>94</v>
      </c>
      <c r="BL632" t="s">
        <v>660</v>
      </c>
      <c r="BM632" t="s">
        <v>9113</v>
      </c>
      <c r="BN632" t="s">
        <v>74</v>
      </c>
      <c r="BO632" t="s">
        <v>74</v>
      </c>
      <c r="BP632" t="s">
        <v>74</v>
      </c>
      <c r="BQ632" t="s">
        <v>74</v>
      </c>
      <c r="BR632" t="s">
        <v>97</v>
      </c>
      <c r="BS632" t="s">
        <v>9114</v>
      </c>
      <c r="BT632" t="str">
        <f>HYPERLINK("https%3A%2F%2Fwww.webofscience.com%2Fwos%2Fwoscc%2Ffull-record%2FWOS:000182238400001","View Full Record in Web of Science")</f>
        <v>View Full Record in Web of Science</v>
      </c>
    </row>
    <row r="633" spans="1:72" x14ac:dyDescent="0.15">
      <c r="A633" t="s">
        <v>72</v>
      </c>
      <c r="B633" t="s">
        <v>9115</v>
      </c>
      <c r="C633" t="s">
        <v>74</v>
      </c>
      <c r="D633" t="s">
        <v>74</v>
      </c>
      <c r="E633" t="s">
        <v>74</v>
      </c>
      <c r="F633" t="s">
        <v>9115</v>
      </c>
      <c r="G633" t="s">
        <v>74</v>
      </c>
      <c r="H633" t="s">
        <v>74</v>
      </c>
      <c r="I633" t="s">
        <v>9116</v>
      </c>
      <c r="J633" t="s">
        <v>9117</v>
      </c>
      <c r="K633" t="s">
        <v>74</v>
      </c>
      <c r="L633" t="s">
        <v>74</v>
      </c>
      <c r="M633" t="s">
        <v>77</v>
      </c>
      <c r="N633" t="s">
        <v>78</v>
      </c>
      <c r="O633" t="s">
        <v>74</v>
      </c>
      <c r="P633" t="s">
        <v>74</v>
      </c>
      <c r="Q633" t="s">
        <v>74</v>
      </c>
      <c r="R633" t="s">
        <v>74</v>
      </c>
      <c r="S633" t="s">
        <v>74</v>
      </c>
      <c r="T633" t="s">
        <v>9118</v>
      </c>
      <c r="U633" t="s">
        <v>9119</v>
      </c>
      <c r="V633" t="s">
        <v>9120</v>
      </c>
      <c r="W633" t="s">
        <v>9121</v>
      </c>
      <c r="X633" t="s">
        <v>9122</v>
      </c>
      <c r="Y633" t="s">
        <v>9123</v>
      </c>
      <c r="Z633" t="s">
        <v>74</v>
      </c>
      <c r="AA633" t="s">
        <v>74</v>
      </c>
      <c r="AB633" t="s">
        <v>74</v>
      </c>
      <c r="AC633" t="s">
        <v>74</v>
      </c>
      <c r="AD633" t="s">
        <v>74</v>
      </c>
      <c r="AE633" t="s">
        <v>74</v>
      </c>
      <c r="AF633" t="s">
        <v>74</v>
      </c>
      <c r="AG633">
        <v>47</v>
      </c>
      <c r="AH633">
        <v>4</v>
      </c>
      <c r="AI633">
        <v>4</v>
      </c>
      <c r="AJ633">
        <v>0</v>
      </c>
      <c r="AK633">
        <v>2</v>
      </c>
      <c r="AL633" t="s">
        <v>110</v>
      </c>
      <c r="AM633" t="s">
        <v>111</v>
      </c>
      <c r="AN633" t="s">
        <v>112</v>
      </c>
      <c r="AO633" t="s">
        <v>9124</v>
      </c>
      <c r="AP633" t="s">
        <v>74</v>
      </c>
      <c r="AQ633" t="s">
        <v>74</v>
      </c>
      <c r="AR633" t="s">
        <v>9125</v>
      </c>
      <c r="AS633" t="s">
        <v>9126</v>
      </c>
      <c r="AT633" t="s">
        <v>9097</v>
      </c>
      <c r="AU633">
        <v>2003</v>
      </c>
      <c r="AV633">
        <v>623</v>
      </c>
      <c r="AW633" t="s">
        <v>74</v>
      </c>
      <c r="AX633" t="s">
        <v>74</v>
      </c>
      <c r="AY633" t="s">
        <v>74</v>
      </c>
      <c r="AZ633" t="s">
        <v>74</v>
      </c>
      <c r="BA633" t="s">
        <v>74</v>
      </c>
      <c r="BB633">
        <v>211</v>
      </c>
      <c r="BC633">
        <v>219</v>
      </c>
      <c r="BD633" t="s">
        <v>9127</v>
      </c>
      <c r="BE633" t="s">
        <v>9128</v>
      </c>
      <c r="BF633" t="str">
        <f>HYPERLINK("http://dx.doi.org/10.1016/S0166-1280(02)00699-1","http://dx.doi.org/10.1016/S0166-1280(02)00699-1")</f>
        <v>http://dx.doi.org/10.1016/S0166-1280(02)00699-1</v>
      </c>
      <c r="BG633" t="s">
        <v>74</v>
      </c>
      <c r="BH633" t="s">
        <v>74</v>
      </c>
      <c r="BI633">
        <v>9</v>
      </c>
      <c r="BJ633" t="s">
        <v>6735</v>
      </c>
      <c r="BK633" t="s">
        <v>94</v>
      </c>
      <c r="BL633" t="s">
        <v>4142</v>
      </c>
      <c r="BM633" t="s">
        <v>9129</v>
      </c>
      <c r="BN633" t="s">
        <v>74</v>
      </c>
      <c r="BO633" t="s">
        <v>74</v>
      </c>
      <c r="BP633" t="s">
        <v>74</v>
      </c>
      <c r="BQ633" t="s">
        <v>74</v>
      </c>
      <c r="BR633" t="s">
        <v>97</v>
      </c>
      <c r="BS633" t="s">
        <v>9130</v>
      </c>
      <c r="BT633" t="str">
        <f>HYPERLINK("https%3A%2F%2Fwww.webofscience.com%2Fwos%2Fwoscc%2Ffull-record%2FWOS:000181523700025","View Full Record in Web of Science")</f>
        <v>View Full Record in Web of Science</v>
      </c>
    </row>
    <row r="634" spans="1:72" x14ac:dyDescent="0.15">
      <c r="A634" t="s">
        <v>72</v>
      </c>
      <c r="B634" t="s">
        <v>9131</v>
      </c>
      <c r="C634" t="s">
        <v>74</v>
      </c>
      <c r="D634" t="s">
        <v>74</v>
      </c>
      <c r="E634" t="s">
        <v>74</v>
      </c>
      <c r="F634" t="s">
        <v>9131</v>
      </c>
      <c r="G634" t="s">
        <v>74</v>
      </c>
      <c r="H634" t="s">
        <v>74</v>
      </c>
      <c r="I634" t="s">
        <v>9132</v>
      </c>
      <c r="J634" t="s">
        <v>4208</v>
      </c>
      <c r="K634" t="s">
        <v>74</v>
      </c>
      <c r="L634" t="s">
        <v>74</v>
      </c>
      <c r="M634" t="s">
        <v>77</v>
      </c>
      <c r="N634" t="s">
        <v>78</v>
      </c>
      <c r="O634" t="s">
        <v>74</v>
      </c>
      <c r="P634" t="s">
        <v>74</v>
      </c>
      <c r="Q634" t="s">
        <v>74</v>
      </c>
      <c r="R634" t="s">
        <v>74</v>
      </c>
      <c r="S634" t="s">
        <v>74</v>
      </c>
      <c r="T634" t="s">
        <v>9133</v>
      </c>
      <c r="U634" t="s">
        <v>9134</v>
      </c>
      <c r="V634" t="s">
        <v>9135</v>
      </c>
      <c r="W634" t="s">
        <v>9136</v>
      </c>
      <c r="X634" t="s">
        <v>9137</v>
      </c>
      <c r="Y634" t="s">
        <v>9138</v>
      </c>
      <c r="Z634" t="s">
        <v>9139</v>
      </c>
      <c r="AA634" t="s">
        <v>9140</v>
      </c>
      <c r="AB634" t="s">
        <v>9141</v>
      </c>
      <c r="AC634" t="s">
        <v>74</v>
      </c>
      <c r="AD634" t="s">
        <v>74</v>
      </c>
      <c r="AE634" t="s">
        <v>74</v>
      </c>
      <c r="AF634" t="s">
        <v>74</v>
      </c>
      <c r="AG634">
        <v>65</v>
      </c>
      <c r="AH634">
        <v>153</v>
      </c>
      <c r="AI634">
        <v>176</v>
      </c>
      <c r="AJ634">
        <v>0</v>
      </c>
      <c r="AK634">
        <v>11</v>
      </c>
      <c r="AL634" t="s">
        <v>539</v>
      </c>
      <c r="AM634" t="s">
        <v>540</v>
      </c>
      <c r="AN634" t="s">
        <v>541</v>
      </c>
      <c r="AO634" t="s">
        <v>4218</v>
      </c>
      <c r="AP634" t="s">
        <v>4219</v>
      </c>
      <c r="AQ634" t="s">
        <v>74</v>
      </c>
      <c r="AR634" t="s">
        <v>4220</v>
      </c>
      <c r="AS634" t="s">
        <v>4221</v>
      </c>
      <c r="AT634" t="s">
        <v>9142</v>
      </c>
      <c r="AU634">
        <v>2003</v>
      </c>
      <c r="AV634">
        <v>108</v>
      </c>
      <c r="AW634" t="s">
        <v>9143</v>
      </c>
      <c r="AX634" t="s">
        <v>74</v>
      </c>
      <c r="AY634" t="s">
        <v>74</v>
      </c>
      <c r="AZ634" t="s">
        <v>74</v>
      </c>
      <c r="BA634" t="s">
        <v>74</v>
      </c>
      <c r="BB634" t="s">
        <v>74</v>
      </c>
      <c r="BC634" t="s">
        <v>74</v>
      </c>
      <c r="BD634">
        <v>1141</v>
      </c>
      <c r="BE634" t="s">
        <v>9144</v>
      </c>
      <c r="BF634" t="str">
        <f>HYPERLINK("http://dx.doi.org/10.1029/2002JA009543","http://dx.doi.org/10.1029/2002JA009543")</f>
        <v>http://dx.doi.org/10.1029/2002JA009543</v>
      </c>
      <c r="BG634" t="s">
        <v>74</v>
      </c>
      <c r="BH634" t="s">
        <v>74</v>
      </c>
      <c r="BI634">
        <v>16</v>
      </c>
      <c r="BJ634" t="s">
        <v>1333</v>
      </c>
      <c r="BK634" t="s">
        <v>94</v>
      </c>
      <c r="BL634" t="s">
        <v>1333</v>
      </c>
      <c r="BM634" t="s">
        <v>9145</v>
      </c>
      <c r="BN634" t="s">
        <v>74</v>
      </c>
      <c r="BO634" t="s">
        <v>2800</v>
      </c>
      <c r="BP634" t="s">
        <v>74</v>
      </c>
      <c r="BQ634" t="s">
        <v>74</v>
      </c>
      <c r="BR634" t="s">
        <v>97</v>
      </c>
      <c r="BS634" t="s">
        <v>9146</v>
      </c>
      <c r="BT634" t="str">
        <f>HYPERLINK("https%3A%2F%2Fwww.webofscience.com%2Fwos%2Fwoscc%2Ffull-record%2FWOS:000182243900003","View Full Record in Web of Science")</f>
        <v>View Full Record in Web of Science</v>
      </c>
    </row>
    <row r="635" spans="1:72" x14ac:dyDescent="0.15">
      <c r="A635" t="s">
        <v>72</v>
      </c>
      <c r="B635" t="s">
        <v>9147</v>
      </c>
      <c r="C635" t="s">
        <v>74</v>
      </c>
      <c r="D635" t="s">
        <v>74</v>
      </c>
      <c r="E635" t="s">
        <v>74</v>
      </c>
      <c r="F635" t="s">
        <v>9147</v>
      </c>
      <c r="G635" t="s">
        <v>74</v>
      </c>
      <c r="H635" t="s">
        <v>74</v>
      </c>
      <c r="I635" t="s">
        <v>9148</v>
      </c>
      <c r="J635" t="s">
        <v>9149</v>
      </c>
      <c r="K635" t="s">
        <v>74</v>
      </c>
      <c r="L635" t="s">
        <v>74</v>
      </c>
      <c r="M635" t="s">
        <v>77</v>
      </c>
      <c r="N635" t="s">
        <v>78</v>
      </c>
      <c r="O635" t="s">
        <v>74</v>
      </c>
      <c r="P635" t="s">
        <v>74</v>
      </c>
      <c r="Q635" t="s">
        <v>74</v>
      </c>
      <c r="R635" t="s">
        <v>74</v>
      </c>
      <c r="S635" t="s">
        <v>74</v>
      </c>
      <c r="T635" t="s">
        <v>74</v>
      </c>
      <c r="U635" t="s">
        <v>9150</v>
      </c>
      <c r="V635" t="s">
        <v>9151</v>
      </c>
      <c r="W635" t="s">
        <v>9152</v>
      </c>
      <c r="X635" t="s">
        <v>9153</v>
      </c>
      <c r="Y635" t="s">
        <v>9154</v>
      </c>
      <c r="Z635" t="s">
        <v>5848</v>
      </c>
      <c r="AA635" t="s">
        <v>9155</v>
      </c>
      <c r="AB635" t="s">
        <v>9156</v>
      </c>
      <c r="AC635" t="s">
        <v>74</v>
      </c>
      <c r="AD635" t="s">
        <v>74</v>
      </c>
      <c r="AE635" t="s">
        <v>74</v>
      </c>
      <c r="AF635" t="s">
        <v>74</v>
      </c>
      <c r="AG635">
        <v>31</v>
      </c>
      <c r="AH635">
        <v>193</v>
      </c>
      <c r="AI635">
        <v>213</v>
      </c>
      <c r="AJ635">
        <v>3</v>
      </c>
      <c r="AK635">
        <v>39</v>
      </c>
      <c r="AL635" t="s">
        <v>9157</v>
      </c>
      <c r="AM635" t="s">
        <v>964</v>
      </c>
      <c r="AN635" t="s">
        <v>9158</v>
      </c>
      <c r="AO635" t="s">
        <v>9159</v>
      </c>
      <c r="AP635" t="s">
        <v>9160</v>
      </c>
      <c r="AQ635" t="s">
        <v>74</v>
      </c>
      <c r="AR635" t="s">
        <v>9149</v>
      </c>
      <c r="AS635" t="s">
        <v>9161</v>
      </c>
      <c r="AT635" t="s">
        <v>9142</v>
      </c>
      <c r="AU635">
        <v>2003</v>
      </c>
      <c r="AV635">
        <v>422</v>
      </c>
      <c r="AW635">
        <v>6931</v>
      </c>
      <c r="AX635" t="s">
        <v>74</v>
      </c>
      <c r="AY635" t="s">
        <v>74</v>
      </c>
      <c r="AZ635" t="s">
        <v>74</v>
      </c>
      <c r="BA635" t="s">
        <v>74</v>
      </c>
      <c r="BB635">
        <v>509</v>
      </c>
      <c r="BC635">
        <v>512</v>
      </c>
      <c r="BD635" t="s">
        <v>74</v>
      </c>
      <c r="BE635" t="s">
        <v>9162</v>
      </c>
      <c r="BF635" t="str">
        <f>HYPERLINK("http://dx.doi.org/10.1038/nature01525","http://dx.doi.org/10.1038/nature01525")</f>
        <v>http://dx.doi.org/10.1038/nature01525</v>
      </c>
      <c r="BG635" t="s">
        <v>74</v>
      </c>
      <c r="BH635" t="s">
        <v>74</v>
      </c>
      <c r="BI635">
        <v>4</v>
      </c>
      <c r="BJ635" t="s">
        <v>971</v>
      </c>
      <c r="BK635" t="s">
        <v>94</v>
      </c>
      <c r="BL635" t="s">
        <v>972</v>
      </c>
      <c r="BM635" t="s">
        <v>9163</v>
      </c>
      <c r="BN635">
        <v>12673247</v>
      </c>
      <c r="BO635" t="s">
        <v>74</v>
      </c>
      <c r="BP635" t="s">
        <v>74</v>
      </c>
      <c r="BQ635" t="s">
        <v>74</v>
      </c>
      <c r="BR635" t="s">
        <v>97</v>
      </c>
      <c r="BS635" t="s">
        <v>9164</v>
      </c>
      <c r="BT635" t="str">
        <f>HYPERLINK("https%3A%2F%2Fwww.webofscience.com%2Fwos%2Fwoscc%2Ffull-record%2FWOS:000181965400034","View Full Record in Web of Science")</f>
        <v>View Full Record in Web of Science</v>
      </c>
    </row>
    <row r="636" spans="1:72" x14ac:dyDescent="0.15">
      <c r="A636" t="s">
        <v>72</v>
      </c>
      <c r="B636" t="s">
        <v>9165</v>
      </c>
      <c r="C636" t="s">
        <v>74</v>
      </c>
      <c r="D636" t="s">
        <v>74</v>
      </c>
      <c r="E636" t="s">
        <v>74</v>
      </c>
      <c r="F636" t="s">
        <v>9165</v>
      </c>
      <c r="G636" t="s">
        <v>74</v>
      </c>
      <c r="H636" t="s">
        <v>74</v>
      </c>
      <c r="I636" t="s">
        <v>9166</v>
      </c>
      <c r="J636" t="s">
        <v>9167</v>
      </c>
      <c r="K636" t="s">
        <v>74</v>
      </c>
      <c r="L636" t="s">
        <v>74</v>
      </c>
      <c r="M636" t="s">
        <v>77</v>
      </c>
      <c r="N636" t="s">
        <v>78</v>
      </c>
      <c r="O636" t="s">
        <v>74</v>
      </c>
      <c r="P636" t="s">
        <v>74</v>
      </c>
      <c r="Q636" t="s">
        <v>74</v>
      </c>
      <c r="R636" t="s">
        <v>74</v>
      </c>
      <c r="S636" t="s">
        <v>74</v>
      </c>
      <c r="T636" t="s">
        <v>9168</v>
      </c>
      <c r="U636" t="s">
        <v>9169</v>
      </c>
      <c r="V636" t="s">
        <v>9170</v>
      </c>
      <c r="W636" t="s">
        <v>9171</v>
      </c>
      <c r="X636" t="s">
        <v>9172</v>
      </c>
      <c r="Y636" t="s">
        <v>9173</v>
      </c>
      <c r="Z636" t="s">
        <v>9174</v>
      </c>
      <c r="AA636" t="s">
        <v>9175</v>
      </c>
      <c r="AB636" t="s">
        <v>9176</v>
      </c>
      <c r="AC636" t="s">
        <v>74</v>
      </c>
      <c r="AD636" t="s">
        <v>74</v>
      </c>
      <c r="AE636" t="s">
        <v>74</v>
      </c>
      <c r="AF636" t="s">
        <v>74</v>
      </c>
      <c r="AG636">
        <v>51</v>
      </c>
      <c r="AH636">
        <v>89</v>
      </c>
      <c r="AI636">
        <v>103</v>
      </c>
      <c r="AJ636">
        <v>0</v>
      </c>
      <c r="AK636">
        <v>39</v>
      </c>
      <c r="AL636" t="s">
        <v>250</v>
      </c>
      <c r="AM636" t="s">
        <v>251</v>
      </c>
      <c r="AN636" t="s">
        <v>252</v>
      </c>
      <c r="AO636" t="s">
        <v>9177</v>
      </c>
      <c r="AP636" t="s">
        <v>9178</v>
      </c>
      <c r="AQ636" t="s">
        <v>74</v>
      </c>
      <c r="AR636" t="s">
        <v>9179</v>
      </c>
      <c r="AS636" t="s">
        <v>9180</v>
      </c>
      <c r="AT636" t="s">
        <v>9181</v>
      </c>
      <c r="AU636">
        <v>2003</v>
      </c>
      <c r="AV636">
        <v>90</v>
      </c>
      <c r="AW636">
        <v>4</v>
      </c>
      <c r="AX636" t="s">
        <v>74</v>
      </c>
      <c r="AY636" t="s">
        <v>74</v>
      </c>
      <c r="AZ636" t="s">
        <v>74</v>
      </c>
      <c r="BA636" t="s">
        <v>74</v>
      </c>
      <c r="BB636">
        <v>610</v>
      </c>
      <c r="BC636">
        <v>619</v>
      </c>
      <c r="BD636" t="s">
        <v>74</v>
      </c>
      <c r="BE636" t="s">
        <v>9182</v>
      </c>
      <c r="BF636" t="str">
        <f>HYPERLINK("http://dx.doi.org/10.3732/ajb.90.4.610","http://dx.doi.org/10.3732/ajb.90.4.610")</f>
        <v>http://dx.doi.org/10.3732/ajb.90.4.610</v>
      </c>
      <c r="BG636" t="s">
        <v>74</v>
      </c>
      <c r="BH636" t="s">
        <v>74</v>
      </c>
      <c r="BI636">
        <v>10</v>
      </c>
      <c r="BJ636" t="s">
        <v>276</v>
      </c>
      <c r="BK636" t="s">
        <v>94</v>
      </c>
      <c r="BL636" t="s">
        <v>276</v>
      </c>
      <c r="BM636" t="s">
        <v>9183</v>
      </c>
      <c r="BN636">
        <v>21659156</v>
      </c>
      <c r="BO636" t="s">
        <v>74</v>
      </c>
      <c r="BP636" t="s">
        <v>74</v>
      </c>
      <c r="BQ636" t="s">
        <v>74</v>
      </c>
      <c r="BR636" t="s">
        <v>97</v>
      </c>
      <c r="BS636" t="s">
        <v>9184</v>
      </c>
      <c r="BT636" t="str">
        <f>HYPERLINK("https%3A%2F%2Fwww.webofscience.com%2Fwos%2Fwoscc%2Ffull-record%2FWOS:000183133300012","View Full Record in Web of Science")</f>
        <v>View Full Record in Web of Science</v>
      </c>
    </row>
    <row r="637" spans="1:72" x14ac:dyDescent="0.15">
      <c r="A637" t="s">
        <v>72</v>
      </c>
      <c r="B637" t="s">
        <v>9185</v>
      </c>
      <c r="C637" t="s">
        <v>74</v>
      </c>
      <c r="D637" t="s">
        <v>74</v>
      </c>
      <c r="E637" t="s">
        <v>74</v>
      </c>
      <c r="F637" t="s">
        <v>9185</v>
      </c>
      <c r="G637" t="s">
        <v>74</v>
      </c>
      <c r="H637" t="s">
        <v>74</v>
      </c>
      <c r="I637" t="s">
        <v>9186</v>
      </c>
      <c r="J637" t="s">
        <v>3105</v>
      </c>
      <c r="K637" t="s">
        <v>74</v>
      </c>
      <c r="L637" t="s">
        <v>74</v>
      </c>
      <c r="M637" t="s">
        <v>77</v>
      </c>
      <c r="N637" t="s">
        <v>78</v>
      </c>
      <c r="O637" t="s">
        <v>74</v>
      </c>
      <c r="P637" t="s">
        <v>74</v>
      </c>
      <c r="Q637" t="s">
        <v>74</v>
      </c>
      <c r="R637" t="s">
        <v>74</v>
      </c>
      <c r="S637" t="s">
        <v>74</v>
      </c>
      <c r="T637" t="s">
        <v>9187</v>
      </c>
      <c r="U637" t="s">
        <v>9188</v>
      </c>
      <c r="V637" t="s">
        <v>9189</v>
      </c>
      <c r="W637" t="s">
        <v>9190</v>
      </c>
      <c r="X637" t="s">
        <v>9191</v>
      </c>
      <c r="Y637" t="s">
        <v>9192</v>
      </c>
      <c r="Z637" t="s">
        <v>3112</v>
      </c>
      <c r="AA637" t="s">
        <v>9193</v>
      </c>
      <c r="AB637" t="s">
        <v>9194</v>
      </c>
      <c r="AC637" t="s">
        <v>74</v>
      </c>
      <c r="AD637" t="s">
        <v>74</v>
      </c>
      <c r="AE637" t="s">
        <v>74</v>
      </c>
      <c r="AF637" t="s">
        <v>74</v>
      </c>
      <c r="AG637">
        <v>74</v>
      </c>
      <c r="AH637">
        <v>30</v>
      </c>
      <c r="AI637">
        <v>31</v>
      </c>
      <c r="AJ637">
        <v>0</v>
      </c>
      <c r="AK637">
        <v>4</v>
      </c>
      <c r="AL637" t="s">
        <v>6072</v>
      </c>
      <c r="AM637" t="s">
        <v>6073</v>
      </c>
      <c r="AN637" t="s">
        <v>6074</v>
      </c>
      <c r="AO637" t="s">
        <v>3118</v>
      </c>
      <c r="AP637" t="s">
        <v>9195</v>
      </c>
      <c r="AQ637" t="s">
        <v>74</v>
      </c>
      <c r="AR637" t="s">
        <v>3119</v>
      </c>
      <c r="AS637" t="s">
        <v>3120</v>
      </c>
      <c r="AT637" t="s">
        <v>9181</v>
      </c>
      <c r="AU637">
        <v>2003</v>
      </c>
      <c r="AV637">
        <v>21</v>
      </c>
      <c r="AW637">
        <v>4</v>
      </c>
      <c r="AX637" t="s">
        <v>74</v>
      </c>
      <c r="AY637" t="s">
        <v>74</v>
      </c>
      <c r="AZ637" t="s">
        <v>74</v>
      </c>
      <c r="BA637" t="s">
        <v>74</v>
      </c>
      <c r="BB637">
        <v>893</v>
      </c>
      <c r="BC637">
        <v>913</v>
      </c>
      <c r="BD637" t="s">
        <v>74</v>
      </c>
      <c r="BE637" t="s">
        <v>9196</v>
      </c>
      <c r="BF637" t="str">
        <f>HYPERLINK("http://dx.doi.org/10.5194/angeo-21-893-2003","http://dx.doi.org/10.5194/angeo-21-893-2003")</f>
        <v>http://dx.doi.org/10.5194/angeo-21-893-2003</v>
      </c>
      <c r="BG637" t="s">
        <v>74</v>
      </c>
      <c r="BH637" t="s">
        <v>74</v>
      </c>
      <c r="BI637">
        <v>21</v>
      </c>
      <c r="BJ637" t="s">
        <v>3123</v>
      </c>
      <c r="BK637" t="s">
        <v>94</v>
      </c>
      <c r="BL637" t="s">
        <v>3124</v>
      </c>
      <c r="BM637" t="s">
        <v>9197</v>
      </c>
      <c r="BN637" t="s">
        <v>74</v>
      </c>
      <c r="BO637" t="s">
        <v>7645</v>
      </c>
      <c r="BP637" t="s">
        <v>74</v>
      </c>
      <c r="BQ637" t="s">
        <v>74</v>
      </c>
      <c r="BR637" t="s">
        <v>97</v>
      </c>
      <c r="BS637" t="s">
        <v>9198</v>
      </c>
      <c r="BT637" t="str">
        <f>HYPERLINK("https%3A%2F%2Fwww.webofscience.com%2Fwos%2Fwoscc%2Ffull-record%2FWOS:000189046200005","View Full Record in Web of Science")</f>
        <v>View Full Record in Web of Science</v>
      </c>
    </row>
    <row r="638" spans="1:72" x14ac:dyDescent="0.15">
      <c r="A638" t="s">
        <v>72</v>
      </c>
      <c r="B638" t="s">
        <v>9199</v>
      </c>
      <c r="C638" t="s">
        <v>74</v>
      </c>
      <c r="D638" t="s">
        <v>74</v>
      </c>
      <c r="E638" t="s">
        <v>74</v>
      </c>
      <c r="F638" t="s">
        <v>9199</v>
      </c>
      <c r="G638" t="s">
        <v>74</v>
      </c>
      <c r="H638" t="s">
        <v>74</v>
      </c>
      <c r="I638" t="s">
        <v>9200</v>
      </c>
      <c r="J638" t="s">
        <v>3105</v>
      </c>
      <c r="K638" t="s">
        <v>74</v>
      </c>
      <c r="L638" t="s">
        <v>74</v>
      </c>
      <c r="M638" t="s">
        <v>77</v>
      </c>
      <c r="N638" t="s">
        <v>78</v>
      </c>
      <c r="O638" t="s">
        <v>74</v>
      </c>
      <c r="P638" t="s">
        <v>74</v>
      </c>
      <c r="Q638" t="s">
        <v>74</v>
      </c>
      <c r="R638" t="s">
        <v>74</v>
      </c>
      <c r="S638" t="s">
        <v>74</v>
      </c>
      <c r="T638" t="s">
        <v>9201</v>
      </c>
      <c r="U638" t="s">
        <v>9202</v>
      </c>
      <c r="V638" t="s">
        <v>9203</v>
      </c>
      <c r="W638" t="s">
        <v>9204</v>
      </c>
      <c r="X638" t="s">
        <v>9205</v>
      </c>
      <c r="Y638" t="s">
        <v>9206</v>
      </c>
      <c r="Z638" t="s">
        <v>9207</v>
      </c>
      <c r="AA638" t="s">
        <v>9208</v>
      </c>
      <c r="AB638" t="s">
        <v>9209</v>
      </c>
      <c r="AC638" t="s">
        <v>74</v>
      </c>
      <c r="AD638" t="s">
        <v>74</v>
      </c>
      <c r="AE638" t="s">
        <v>74</v>
      </c>
      <c r="AF638" t="s">
        <v>74</v>
      </c>
      <c r="AG638">
        <v>27</v>
      </c>
      <c r="AH638">
        <v>14</v>
      </c>
      <c r="AI638">
        <v>14</v>
      </c>
      <c r="AJ638">
        <v>0</v>
      </c>
      <c r="AK638">
        <v>0</v>
      </c>
      <c r="AL638" t="s">
        <v>6072</v>
      </c>
      <c r="AM638" t="s">
        <v>6073</v>
      </c>
      <c r="AN638" t="s">
        <v>6074</v>
      </c>
      <c r="AO638" t="s">
        <v>3118</v>
      </c>
      <c r="AP638" t="s">
        <v>9195</v>
      </c>
      <c r="AQ638" t="s">
        <v>74</v>
      </c>
      <c r="AR638" t="s">
        <v>3119</v>
      </c>
      <c r="AS638" t="s">
        <v>3120</v>
      </c>
      <c r="AT638" t="s">
        <v>9181</v>
      </c>
      <c r="AU638">
        <v>2003</v>
      </c>
      <c r="AV638">
        <v>21</v>
      </c>
      <c r="AW638">
        <v>4</v>
      </c>
      <c r="AX638" t="s">
        <v>74</v>
      </c>
      <c r="AY638" t="s">
        <v>74</v>
      </c>
      <c r="AZ638" t="s">
        <v>74</v>
      </c>
      <c r="BA638" t="s">
        <v>74</v>
      </c>
      <c r="BB638">
        <v>923</v>
      </c>
      <c r="BC638">
        <v>932</v>
      </c>
      <c r="BD638" t="s">
        <v>74</v>
      </c>
      <c r="BE638" t="s">
        <v>9210</v>
      </c>
      <c r="BF638" t="str">
        <f>HYPERLINK("http://dx.doi.org/10.5194/angeo-21-923-2003","http://dx.doi.org/10.5194/angeo-21-923-2003")</f>
        <v>http://dx.doi.org/10.5194/angeo-21-923-2003</v>
      </c>
      <c r="BG638" t="s">
        <v>74</v>
      </c>
      <c r="BH638" t="s">
        <v>74</v>
      </c>
      <c r="BI638">
        <v>10</v>
      </c>
      <c r="BJ638" t="s">
        <v>3123</v>
      </c>
      <c r="BK638" t="s">
        <v>94</v>
      </c>
      <c r="BL638" t="s">
        <v>3124</v>
      </c>
      <c r="BM638" t="s">
        <v>9197</v>
      </c>
      <c r="BN638" t="s">
        <v>74</v>
      </c>
      <c r="BO638" t="s">
        <v>3126</v>
      </c>
      <c r="BP638" t="s">
        <v>74</v>
      </c>
      <c r="BQ638" t="s">
        <v>74</v>
      </c>
      <c r="BR638" t="s">
        <v>97</v>
      </c>
      <c r="BS638" t="s">
        <v>9211</v>
      </c>
      <c r="BT638" t="str">
        <f>HYPERLINK("https%3A%2F%2Fwww.webofscience.com%2Fwos%2Fwoscc%2Ffull-record%2FWOS:000189046200007","View Full Record in Web of Science")</f>
        <v>View Full Record in Web of Science</v>
      </c>
    </row>
    <row r="639" spans="1:72" x14ac:dyDescent="0.15">
      <c r="A639" t="s">
        <v>72</v>
      </c>
      <c r="B639" t="s">
        <v>9212</v>
      </c>
      <c r="C639" t="s">
        <v>74</v>
      </c>
      <c r="D639" t="s">
        <v>74</v>
      </c>
      <c r="E639" t="s">
        <v>74</v>
      </c>
      <c r="F639" t="s">
        <v>9212</v>
      </c>
      <c r="G639" t="s">
        <v>74</v>
      </c>
      <c r="H639" t="s">
        <v>74</v>
      </c>
      <c r="I639" t="s">
        <v>9213</v>
      </c>
      <c r="J639" t="s">
        <v>3105</v>
      </c>
      <c r="K639" t="s">
        <v>74</v>
      </c>
      <c r="L639" t="s">
        <v>74</v>
      </c>
      <c r="M639" t="s">
        <v>77</v>
      </c>
      <c r="N639" t="s">
        <v>78</v>
      </c>
      <c r="O639" t="s">
        <v>74</v>
      </c>
      <c r="P639" t="s">
        <v>74</v>
      </c>
      <c r="Q639" t="s">
        <v>74</v>
      </c>
      <c r="R639" t="s">
        <v>74</v>
      </c>
      <c r="S639" t="s">
        <v>74</v>
      </c>
      <c r="T639" t="s">
        <v>9214</v>
      </c>
      <c r="U639" t="s">
        <v>9215</v>
      </c>
      <c r="V639" t="s">
        <v>9216</v>
      </c>
      <c r="W639" t="s">
        <v>705</v>
      </c>
      <c r="X639" t="s">
        <v>706</v>
      </c>
      <c r="Y639" t="s">
        <v>9217</v>
      </c>
      <c r="Z639" t="s">
        <v>9218</v>
      </c>
      <c r="AA639" t="s">
        <v>7486</v>
      </c>
      <c r="AB639" t="s">
        <v>7487</v>
      </c>
      <c r="AC639" t="s">
        <v>74</v>
      </c>
      <c r="AD639" t="s">
        <v>74</v>
      </c>
      <c r="AE639" t="s">
        <v>74</v>
      </c>
      <c r="AF639" t="s">
        <v>74</v>
      </c>
      <c r="AG639">
        <v>27</v>
      </c>
      <c r="AH639">
        <v>49</v>
      </c>
      <c r="AI639">
        <v>51</v>
      </c>
      <c r="AJ639">
        <v>0</v>
      </c>
      <c r="AK639">
        <v>5</v>
      </c>
      <c r="AL639" t="s">
        <v>3115</v>
      </c>
      <c r="AM639" t="s">
        <v>3116</v>
      </c>
      <c r="AN639" t="s">
        <v>3117</v>
      </c>
      <c r="AO639" t="s">
        <v>3118</v>
      </c>
      <c r="AP639" t="s">
        <v>74</v>
      </c>
      <c r="AQ639" t="s">
        <v>74</v>
      </c>
      <c r="AR639" t="s">
        <v>3119</v>
      </c>
      <c r="AS639" t="s">
        <v>3120</v>
      </c>
      <c r="AT639" t="s">
        <v>9181</v>
      </c>
      <c r="AU639">
        <v>2003</v>
      </c>
      <c r="AV639">
        <v>21</v>
      </c>
      <c r="AW639">
        <v>4</v>
      </c>
      <c r="AX639" t="s">
        <v>74</v>
      </c>
      <c r="AY639" t="s">
        <v>74</v>
      </c>
      <c r="AZ639" t="s">
        <v>74</v>
      </c>
      <c r="BA639" t="s">
        <v>74</v>
      </c>
      <c r="BB639">
        <v>983</v>
      </c>
      <c r="BC639">
        <v>996</v>
      </c>
      <c r="BD639" t="s">
        <v>74</v>
      </c>
      <c r="BE639" t="s">
        <v>9219</v>
      </c>
      <c r="BF639" t="str">
        <f>HYPERLINK("http://dx.doi.org/10.5194/angeo-21-983-2003","http://dx.doi.org/10.5194/angeo-21-983-2003")</f>
        <v>http://dx.doi.org/10.5194/angeo-21-983-2003</v>
      </c>
      <c r="BG639" t="s">
        <v>74</v>
      </c>
      <c r="BH639" t="s">
        <v>74</v>
      </c>
      <c r="BI639">
        <v>14</v>
      </c>
      <c r="BJ639" t="s">
        <v>3123</v>
      </c>
      <c r="BK639" t="s">
        <v>94</v>
      </c>
      <c r="BL639" t="s">
        <v>3124</v>
      </c>
      <c r="BM639" t="s">
        <v>9197</v>
      </c>
      <c r="BN639" t="s">
        <v>74</v>
      </c>
      <c r="BO639" t="s">
        <v>3126</v>
      </c>
      <c r="BP639" t="s">
        <v>74</v>
      </c>
      <c r="BQ639" t="s">
        <v>74</v>
      </c>
      <c r="BR639" t="s">
        <v>97</v>
      </c>
      <c r="BS639" t="s">
        <v>9220</v>
      </c>
      <c r="BT639" t="str">
        <f>HYPERLINK("https%3A%2F%2Fwww.webofscience.com%2Fwos%2Fwoscc%2Ffull-record%2FWOS:000189046200011","View Full Record in Web of Science")</f>
        <v>View Full Record in Web of Science</v>
      </c>
    </row>
    <row r="640" spans="1:72" x14ac:dyDescent="0.15">
      <c r="A640" t="s">
        <v>72</v>
      </c>
      <c r="B640" t="s">
        <v>9221</v>
      </c>
      <c r="C640" t="s">
        <v>74</v>
      </c>
      <c r="D640" t="s">
        <v>74</v>
      </c>
      <c r="E640" t="s">
        <v>74</v>
      </c>
      <c r="F640" t="s">
        <v>9221</v>
      </c>
      <c r="G640" t="s">
        <v>74</v>
      </c>
      <c r="H640" t="s">
        <v>74</v>
      </c>
      <c r="I640" t="s">
        <v>9222</v>
      </c>
      <c r="J640" t="s">
        <v>9223</v>
      </c>
      <c r="K640" t="s">
        <v>74</v>
      </c>
      <c r="L640" t="s">
        <v>74</v>
      </c>
      <c r="M640" t="s">
        <v>77</v>
      </c>
      <c r="N640" t="s">
        <v>78</v>
      </c>
      <c r="O640" t="s">
        <v>74</v>
      </c>
      <c r="P640" t="s">
        <v>74</v>
      </c>
      <c r="Q640" t="s">
        <v>74</v>
      </c>
      <c r="R640" t="s">
        <v>74</v>
      </c>
      <c r="S640" t="s">
        <v>74</v>
      </c>
      <c r="T640" t="s">
        <v>9224</v>
      </c>
      <c r="U640" t="s">
        <v>74</v>
      </c>
      <c r="V640" t="s">
        <v>9225</v>
      </c>
      <c r="W640" t="s">
        <v>9226</v>
      </c>
      <c r="X640" t="s">
        <v>74</v>
      </c>
      <c r="Y640" t="s">
        <v>9227</v>
      </c>
      <c r="Z640" t="s">
        <v>9228</v>
      </c>
      <c r="AA640" t="s">
        <v>9229</v>
      </c>
      <c r="AB640" t="s">
        <v>9230</v>
      </c>
      <c r="AC640" t="s">
        <v>74</v>
      </c>
      <c r="AD640" t="s">
        <v>74</v>
      </c>
      <c r="AE640" t="s">
        <v>74</v>
      </c>
      <c r="AF640" t="s">
        <v>74</v>
      </c>
      <c r="AG640">
        <v>9</v>
      </c>
      <c r="AH640">
        <v>2</v>
      </c>
      <c r="AI640">
        <v>3</v>
      </c>
      <c r="AJ640">
        <v>0</v>
      </c>
      <c r="AK640">
        <v>2</v>
      </c>
      <c r="AL640" t="s">
        <v>9231</v>
      </c>
      <c r="AM640" t="s">
        <v>9232</v>
      </c>
      <c r="AN640" t="s">
        <v>9233</v>
      </c>
      <c r="AO640" t="s">
        <v>9234</v>
      </c>
      <c r="AP640" t="s">
        <v>9235</v>
      </c>
      <c r="AQ640" t="s">
        <v>74</v>
      </c>
      <c r="AR640" t="s">
        <v>9236</v>
      </c>
      <c r="AS640" t="s">
        <v>3120</v>
      </c>
      <c r="AT640" t="s">
        <v>9181</v>
      </c>
      <c r="AU640">
        <v>2003</v>
      </c>
      <c r="AV640">
        <v>46</v>
      </c>
      <c r="AW640">
        <v>2</v>
      </c>
      <c r="AX640" t="s">
        <v>74</v>
      </c>
      <c r="AY640" t="s">
        <v>74</v>
      </c>
      <c r="AZ640" t="s">
        <v>74</v>
      </c>
      <c r="BA640" t="s">
        <v>74</v>
      </c>
      <c r="BB640">
        <v>205</v>
      </c>
      <c r="BC640">
        <v>222</v>
      </c>
      <c r="BD640" t="s">
        <v>74</v>
      </c>
      <c r="BE640" t="s">
        <v>74</v>
      </c>
      <c r="BF640" t="s">
        <v>74</v>
      </c>
      <c r="BG640" t="s">
        <v>74</v>
      </c>
      <c r="BH640" t="s">
        <v>74</v>
      </c>
      <c r="BI640">
        <v>18</v>
      </c>
      <c r="BJ640" t="s">
        <v>176</v>
      </c>
      <c r="BK640" t="s">
        <v>94</v>
      </c>
      <c r="BL640" t="s">
        <v>176</v>
      </c>
      <c r="BM640" t="s">
        <v>9237</v>
      </c>
      <c r="BN640" t="s">
        <v>74</v>
      </c>
      <c r="BO640" t="s">
        <v>74</v>
      </c>
      <c r="BP640" t="s">
        <v>74</v>
      </c>
      <c r="BQ640" t="s">
        <v>74</v>
      </c>
      <c r="BR640" t="s">
        <v>97</v>
      </c>
      <c r="BS640" t="s">
        <v>9238</v>
      </c>
      <c r="BT640" t="str">
        <f>HYPERLINK("https%3A%2F%2Fwww.webofscience.com%2Fwos%2Fwoscc%2Ffull-record%2FWOS:000184026100005","View Full Record in Web of Science")</f>
        <v>View Full Record in Web of Science</v>
      </c>
    </row>
    <row r="641" spans="1:72" x14ac:dyDescent="0.15">
      <c r="A641" t="s">
        <v>72</v>
      </c>
      <c r="B641" t="s">
        <v>9239</v>
      </c>
      <c r="C641" t="s">
        <v>74</v>
      </c>
      <c r="D641" t="s">
        <v>74</v>
      </c>
      <c r="E641" t="s">
        <v>74</v>
      </c>
      <c r="F641" t="s">
        <v>9239</v>
      </c>
      <c r="G641" t="s">
        <v>74</v>
      </c>
      <c r="H641" t="s">
        <v>74</v>
      </c>
      <c r="I641" t="s">
        <v>9240</v>
      </c>
      <c r="J641" t="s">
        <v>9223</v>
      </c>
      <c r="K641" t="s">
        <v>74</v>
      </c>
      <c r="L641" t="s">
        <v>74</v>
      </c>
      <c r="M641" t="s">
        <v>77</v>
      </c>
      <c r="N641" t="s">
        <v>78</v>
      </c>
      <c r="O641" t="s">
        <v>74</v>
      </c>
      <c r="P641" t="s">
        <v>74</v>
      </c>
      <c r="Q641" t="s">
        <v>74</v>
      </c>
      <c r="R641" t="s">
        <v>74</v>
      </c>
      <c r="S641" t="s">
        <v>74</v>
      </c>
      <c r="T641" t="s">
        <v>9241</v>
      </c>
      <c r="U641" t="s">
        <v>74</v>
      </c>
      <c r="V641" t="s">
        <v>9242</v>
      </c>
      <c r="W641" t="s">
        <v>9243</v>
      </c>
      <c r="X641" t="s">
        <v>9244</v>
      </c>
      <c r="Y641" t="s">
        <v>9245</v>
      </c>
      <c r="Z641" t="s">
        <v>74</v>
      </c>
      <c r="AA641" t="s">
        <v>74</v>
      </c>
      <c r="AB641" t="s">
        <v>74</v>
      </c>
      <c r="AC641" t="s">
        <v>74</v>
      </c>
      <c r="AD641" t="s">
        <v>74</v>
      </c>
      <c r="AE641" t="s">
        <v>74</v>
      </c>
      <c r="AF641" t="s">
        <v>74</v>
      </c>
      <c r="AG641">
        <v>5</v>
      </c>
      <c r="AH641">
        <v>0</v>
      </c>
      <c r="AI641">
        <v>0</v>
      </c>
      <c r="AJ641">
        <v>0</v>
      </c>
      <c r="AK641">
        <v>2</v>
      </c>
      <c r="AL641" t="s">
        <v>9246</v>
      </c>
      <c r="AM641" t="s">
        <v>9247</v>
      </c>
      <c r="AN641" t="s">
        <v>9248</v>
      </c>
      <c r="AO641" t="s">
        <v>9234</v>
      </c>
      <c r="AP641" t="s">
        <v>74</v>
      </c>
      <c r="AQ641" t="s">
        <v>74</v>
      </c>
      <c r="AR641" t="s">
        <v>9236</v>
      </c>
      <c r="AS641" t="s">
        <v>3120</v>
      </c>
      <c r="AT641" t="s">
        <v>9181</v>
      </c>
      <c r="AU641">
        <v>2003</v>
      </c>
      <c r="AV641">
        <v>46</v>
      </c>
      <c r="AW641">
        <v>2</v>
      </c>
      <c r="AX641" t="s">
        <v>74</v>
      </c>
      <c r="AY641" t="s">
        <v>74</v>
      </c>
      <c r="AZ641" t="s">
        <v>74</v>
      </c>
      <c r="BA641" t="s">
        <v>74</v>
      </c>
      <c r="BB641">
        <v>259</v>
      </c>
      <c r="BC641">
        <v>267</v>
      </c>
      <c r="BD641" t="s">
        <v>74</v>
      </c>
      <c r="BE641" t="s">
        <v>74</v>
      </c>
      <c r="BF641" t="s">
        <v>74</v>
      </c>
      <c r="BG641" t="s">
        <v>74</v>
      </c>
      <c r="BH641" t="s">
        <v>74</v>
      </c>
      <c r="BI641">
        <v>9</v>
      </c>
      <c r="BJ641" t="s">
        <v>176</v>
      </c>
      <c r="BK641" t="s">
        <v>94</v>
      </c>
      <c r="BL641" t="s">
        <v>176</v>
      </c>
      <c r="BM641" t="s">
        <v>9237</v>
      </c>
      <c r="BN641" t="s">
        <v>74</v>
      </c>
      <c r="BO641" t="s">
        <v>74</v>
      </c>
      <c r="BP641" t="s">
        <v>74</v>
      </c>
      <c r="BQ641" t="s">
        <v>74</v>
      </c>
      <c r="BR641" t="s">
        <v>97</v>
      </c>
      <c r="BS641" t="s">
        <v>9249</v>
      </c>
      <c r="BT641" t="str">
        <f>HYPERLINK("https%3A%2F%2Fwww.webofscience.com%2Fwos%2Fwoscc%2Ffull-record%2FWOS:000184026100010","View Full Record in Web of Science")</f>
        <v>View Full Record in Web of Science</v>
      </c>
    </row>
    <row r="642" spans="1:72" x14ac:dyDescent="0.15">
      <c r="A642" t="s">
        <v>72</v>
      </c>
      <c r="B642" t="s">
        <v>9250</v>
      </c>
      <c r="C642" t="s">
        <v>74</v>
      </c>
      <c r="D642" t="s">
        <v>74</v>
      </c>
      <c r="E642" t="s">
        <v>74</v>
      </c>
      <c r="F642" t="s">
        <v>9250</v>
      </c>
      <c r="G642" t="s">
        <v>74</v>
      </c>
      <c r="H642" t="s">
        <v>74</v>
      </c>
      <c r="I642" t="s">
        <v>9251</v>
      </c>
      <c r="J642" t="s">
        <v>9223</v>
      </c>
      <c r="K642" t="s">
        <v>74</v>
      </c>
      <c r="L642" t="s">
        <v>74</v>
      </c>
      <c r="M642" t="s">
        <v>77</v>
      </c>
      <c r="N642" t="s">
        <v>78</v>
      </c>
      <c r="O642" t="s">
        <v>74</v>
      </c>
      <c r="P642" t="s">
        <v>74</v>
      </c>
      <c r="Q642" t="s">
        <v>74</v>
      </c>
      <c r="R642" t="s">
        <v>74</v>
      </c>
      <c r="S642" t="s">
        <v>74</v>
      </c>
      <c r="T642" t="s">
        <v>9252</v>
      </c>
      <c r="U642" t="s">
        <v>9253</v>
      </c>
      <c r="V642" t="s">
        <v>9254</v>
      </c>
      <c r="W642" t="s">
        <v>9255</v>
      </c>
      <c r="X642" t="s">
        <v>9256</v>
      </c>
      <c r="Y642" t="s">
        <v>9257</v>
      </c>
      <c r="Z642" t="s">
        <v>9258</v>
      </c>
      <c r="AA642" t="s">
        <v>9259</v>
      </c>
      <c r="AB642" t="s">
        <v>9260</v>
      </c>
      <c r="AC642" t="s">
        <v>74</v>
      </c>
      <c r="AD642" t="s">
        <v>74</v>
      </c>
      <c r="AE642" t="s">
        <v>74</v>
      </c>
      <c r="AF642" t="s">
        <v>74</v>
      </c>
      <c r="AG642">
        <v>26</v>
      </c>
      <c r="AH642">
        <v>3</v>
      </c>
      <c r="AI642">
        <v>3</v>
      </c>
      <c r="AJ642">
        <v>0</v>
      </c>
      <c r="AK642">
        <v>2</v>
      </c>
      <c r="AL642" t="s">
        <v>9231</v>
      </c>
      <c r="AM642" t="s">
        <v>9232</v>
      </c>
      <c r="AN642" t="s">
        <v>9233</v>
      </c>
      <c r="AO642" t="s">
        <v>9234</v>
      </c>
      <c r="AP642" t="s">
        <v>9235</v>
      </c>
      <c r="AQ642" t="s">
        <v>74</v>
      </c>
      <c r="AR642" t="s">
        <v>9236</v>
      </c>
      <c r="AS642" t="s">
        <v>3120</v>
      </c>
      <c r="AT642" t="s">
        <v>9181</v>
      </c>
      <c r="AU642">
        <v>2003</v>
      </c>
      <c r="AV642">
        <v>46</v>
      </c>
      <c r="AW642">
        <v>2</v>
      </c>
      <c r="AX642" t="s">
        <v>74</v>
      </c>
      <c r="AY642" t="s">
        <v>74</v>
      </c>
      <c r="AZ642" t="s">
        <v>74</v>
      </c>
      <c r="BA642" t="s">
        <v>74</v>
      </c>
      <c r="BB642">
        <v>285</v>
      </c>
      <c r="BC642">
        <v>294</v>
      </c>
      <c r="BD642" t="s">
        <v>74</v>
      </c>
      <c r="BE642" t="s">
        <v>74</v>
      </c>
      <c r="BF642" t="s">
        <v>74</v>
      </c>
      <c r="BG642" t="s">
        <v>74</v>
      </c>
      <c r="BH642" t="s">
        <v>74</v>
      </c>
      <c r="BI642">
        <v>10</v>
      </c>
      <c r="BJ642" t="s">
        <v>176</v>
      </c>
      <c r="BK642" t="s">
        <v>94</v>
      </c>
      <c r="BL642" t="s">
        <v>176</v>
      </c>
      <c r="BM642" t="s">
        <v>9237</v>
      </c>
      <c r="BN642" t="s">
        <v>74</v>
      </c>
      <c r="BO642" t="s">
        <v>74</v>
      </c>
      <c r="BP642" t="s">
        <v>74</v>
      </c>
      <c r="BQ642" t="s">
        <v>74</v>
      </c>
      <c r="BR642" t="s">
        <v>97</v>
      </c>
      <c r="BS642" t="s">
        <v>9261</v>
      </c>
      <c r="BT642" t="str">
        <f>HYPERLINK("https%3A%2F%2Fwww.webofscience.com%2Fwos%2Fwoscc%2Ffull-record%2FWOS:000184026100012","View Full Record in Web of Science")</f>
        <v>View Full Record in Web of Science</v>
      </c>
    </row>
    <row r="643" spans="1:72" x14ac:dyDescent="0.15">
      <c r="A643" t="s">
        <v>72</v>
      </c>
      <c r="B643" t="s">
        <v>9262</v>
      </c>
      <c r="C643" t="s">
        <v>74</v>
      </c>
      <c r="D643" t="s">
        <v>74</v>
      </c>
      <c r="E643" t="s">
        <v>74</v>
      </c>
      <c r="F643" t="s">
        <v>9262</v>
      </c>
      <c r="G643" t="s">
        <v>74</v>
      </c>
      <c r="H643" t="s">
        <v>74</v>
      </c>
      <c r="I643" t="s">
        <v>9263</v>
      </c>
      <c r="J643" t="s">
        <v>9223</v>
      </c>
      <c r="K643" t="s">
        <v>74</v>
      </c>
      <c r="L643" t="s">
        <v>74</v>
      </c>
      <c r="M643" t="s">
        <v>77</v>
      </c>
      <c r="N643" t="s">
        <v>78</v>
      </c>
      <c r="O643" t="s">
        <v>74</v>
      </c>
      <c r="P643" t="s">
        <v>74</v>
      </c>
      <c r="Q643" t="s">
        <v>74</v>
      </c>
      <c r="R643" t="s">
        <v>74</v>
      </c>
      <c r="S643" t="s">
        <v>74</v>
      </c>
      <c r="T643" t="s">
        <v>9264</v>
      </c>
      <c r="U643" t="s">
        <v>9265</v>
      </c>
      <c r="V643" t="s">
        <v>9266</v>
      </c>
      <c r="W643" t="s">
        <v>9267</v>
      </c>
      <c r="X643" t="s">
        <v>9268</v>
      </c>
      <c r="Y643" t="s">
        <v>9269</v>
      </c>
      <c r="Z643" t="s">
        <v>74</v>
      </c>
      <c r="AA643" t="s">
        <v>74</v>
      </c>
      <c r="AB643" t="s">
        <v>74</v>
      </c>
      <c r="AC643" t="s">
        <v>74</v>
      </c>
      <c r="AD643" t="s">
        <v>74</v>
      </c>
      <c r="AE643" t="s">
        <v>74</v>
      </c>
      <c r="AF643" t="s">
        <v>74</v>
      </c>
      <c r="AG643">
        <v>37</v>
      </c>
      <c r="AH643">
        <v>1</v>
      </c>
      <c r="AI643">
        <v>1</v>
      </c>
      <c r="AJ643">
        <v>0</v>
      </c>
      <c r="AK643">
        <v>2</v>
      </c>
      <c r="AL643" t="s">
        <v>9246</v>
      </c>
      <c r="AM643" t="s">
        <v>9247</v>
      </c>
      <c r="AN643" t="s">
        <v>9248</v>
      </c>
      <c r="AO643" t="s">
        <v>9234</v>
      </c>
      <c r="AP643" t="s">
        <v>74</v>
      </c>
      <c r="AQ643" t="s">
        <v>74</v>
      </c>
      <c r="AR643" t="s">
        <v>9236</v>
      </c>
      <c r="AS643" t="s">
        <v>3120</v>
      </c>
      <c r="AT643" t="s">
        <v>9181</v>
      </c>
      <c r="AU643">
        <v>2003</v>
      </c>
      <c r="AV643">
        <v>46</v>
      </c>
      <c r="AW643">
        <v>2</v>
      </c>
      <c r="AX643" t="s">
        <v>74</v>
      </c>
      <c r="AY643" t="s">
        <v>74</v>
      </c>
      <c r="AZ643" t="s">
        <v>74</v>
      </c>
      <c r="BA643" t="s">
        <v>74</v>
      </c>
      <c r="BB643">
        <v>341</v>
      </c>
      <c r="BC643">
        <v>352</v>
      </c>
      <c r="BD643" t="s">
        <v>74</v>
      </c>
      <c r="BE643" t="s">
        <v>74</v>
      </c>
      <c r="BF643" t="s">
        <v>74</v>
      </c>
      <c r="BG643" t="s">
        <v>74</v>
      </c>
      <c r="BH643" t="s">
        <v>74</v>
      </c>
      <c r="BI643">
        <v>12</v>
      </c>
      <c r="BJ643" t="s">
        <v>176</v>
      </c>
      <c r="BK643" t="s">
        <v>94</v>
      </c>
      <c r="BL643" t="s">
        <v>176</v>
      </c>
      <c r="BM643" t="s">
        <v>9237</v>
      </c>
      <c r="BN643" t="s">
        <v>74</v>
      </c>
      <c r="BO643" t="s">
        <v>74</v>
      </c>
      <c r="BP643" t="s">
        <v>74</v>
      </c>
      <c r="BQ643" t="s">
        <v>74</v>
      </c>
      <c r="BR643" t="s">
        <v>97</v>
      </c>
      <c r="BS643" t="s">
        <v>9270</v>
      </c>
      <c r="BT643" t="str">
        <f>HYPERLINK("https%3A%2F%2Fwww.webofscience.com%2Fwos%2Fwoscc%2Ffull-record%2FWOS:000184026100017","View Full Record in Web of Science")</f>
        <v>View Full Record in Web of Science</v>
      </c>
    </row>
    <row r="644" spans="1:72" x14ac:dyDescent="0.15">
      <c r="A644" t="s">
        <v>72</v>
      </c>
      <c r="B644" t="s">
        <v>9271</v>
      </c>
      <c r="C644" t="s">
        <v>74</v>
      </c>
      <c r="D644" t="s">
        <v>74</v>
      </c>
      <c r="E644" t="s">
        <v>74</v>
      </c>
      <c r="F644" t="s">
        <v>9271</v>
      </c>
      <c r="G644" t="s">
        <v>74</v>
      </c>
      <c r="H644" t="s">
        <v>74</v>
      </c>
      <c r="I644" t="s">
        <v>9272</v>
      </c>
      <c r="J644" t="s">
        <v>9223</v>
      </c>
      <c r="K644" t="s">
        <v>74</v>
      </c>
      <c r="L644" t="s">
        <v>74</v>
      </c>
      <c r="M644" t="s">
        <v>77</v>
      </c>
      <c r="N644" t="s">
        <v>78</v>
      </c>
      <c r="O644" t="s">
        <v>74</v>
      </c>
      <c r="P644" t="s">
        <v>74</v>
      </c>
      <c r="Q644" t="s">
        <v>74</v>
      </c>
      <c r="R644" t="s">
        <v>74</v>
      </c>
      <c r="S644" t="s">
        <v>74</v>
      </c>
      <c r="T644" t="s">
        <v>9273</v>
      </c>
      <c r="U644" t="s">
        <v>9274</v>
      </c>
      <c r="V644" t="s">
        <v>9275</v>
      </c>
      <c r="W644" t="s">
        <v>9276</v>
      </c>
      <c r="X644" t="s">
        <v>9277</v>
      </c>
      <c r="Y644" t="s">
        <v>9278</v>
      </c>
      <c r="Z644" t="s">
        <v>74</v>
      </c>
      <c r="AA644" t="s">
        <v>74</v>
      </c>
      <c r="AB644" t="s">
        <v>9279</v>
      </c>
      <c r="AC644" t="s">
        <v>74</v>
      </c>
      <c r="AD644" t="s">
        <v>74</v>
      </c>
      <c r="AE644" t="s">
        <v>74</v>
      </c>
      <c r="AF644" t="s">
        <v>74</v>
      </c>
      <c r="AG644">
        <v>12</v>
      </c>
      <c r="AH644">
        <v>1</v>
      </c>
      <c r="AI644">
        <v>1</v>
      </c>
      <c r="AJ644">
        <v>0</v>
      </c>
      <c r="AK644">
        <v>4</v>
      </c>
      <c r="AL644" t="s">
        <v>9246</v>
      </c>
      <c r="AM644" t="s">
        <v>9247</v>
      </c>
      <c r="AN644" t="s">
        <v>9248</v>
      </c>
      <c r="AO644" t="s">
        <v>9234</v>
      </c>
      <c r="AP644" t="s">
        <v>74</v>
      </c>
      <c r="AQ644" t="s">
        <v>74</v>
      </c>
      <c r="AR644" t="s">
        <v>9236</v>
      </c>
      <c r="AS644" t="s">
        <v>3120</v>
      </c>
      <c r="AT644" t="s">
        <v>9181</v>
      </c>
      <c r="AU644">
        <v>2003</v>
      </c>
      <c r="AV644">
        <v>46</v>
      </c>
      <c r="AW644">
        <v>2</v>
      </c>
      <c r="AX644" t="s">
        <v>74</v>
      </c>
      <c r="AY644" t="s">
        <v>74</v>
      </c>
      <c r="AZ644" t="s">
        <v>74</v>
      </c>
      <c r="BA644" t="s">
        <v>74</v>
      </c>
      <c r="BB644">
        <v>385</v>
      </c>
      <c r="BC644">
        <v>399</v>
      </c>
      <c r="BD644" t="s">
        <v>74</v>
      </c>
      <c r="BE644" t="s">
        <v>74</v>
      </c>
      <c r="BF644" t="s">
        <v>74</v>
      </c>
      <c r="BG644" t="s">
        <v>74</v>
      </c>
      <c r="BH644" t="s">
        <v>74</v>
      </c>
      <c r="BI644">
        <v>15</v>
      </c>
      <c r="BJ644" t="s">
        <v>176</v>
      </c>
      <c r="BK644" t="s">
        <v>94</v>
      </c>
      <c r="BL644" t="s">
        <v>176</v>
      </c>
      <c r="BM644" t="s">
        <v>9237</v>
      </c>
      <c r="BN644" t="s">
        <v>74</v>
      </c>
      <c r="BO644" t="s">
        <v>74</v>
      </c>
      <c r="BP644" t="s">
        <v>74</v>
      </c>
      <c r="BQ644" t="s">
        <v>74</v>
      </c>
      <c r="BR644" t="s">
        <v>97</v>
      </c>
      <c r="BS644" t="s">
        <v>9280</v>
      </c>
      <c r="BT644" t="str">
        <f>HYPERLINK("https%3A%2F%2Fwww.webofscience.com%2Fwos%2Fwoscc%2Ffull-record%2FWOS:000184026100021","View Full Record in Web of Science")</f>
        <v>View Full Record in Web of Science</v>
      </c>
    </row>
    <row r="645" spans="1:72" x14ac:dyDescent="0.15">
      <c r="A645" t="s">
        <v>72</v>
      </c>
      <c r="B645" t="s">
        <v>3982</v>
      </c>
      <c r="C645" t="s">
        <v>74</v>
      </c>
      <c r="D645" t="s">
        <v>74</v>
      </c>
      <c r="E645" t="s">
        <v>74</v>
      </c>
      <c r="F645" t="s">
        <v>3982</v>
      </c>
      <c r="G645" t="s">
        <v>74</v>
      </c>
      <c r="H645" t="s">
        <v>74</v>
      </c>
      <c r="I645" t="s">
        <v>9281</v>
      </c>
      <c r="J645" t="s">
        <v>6333</v>
      </c>
      <c r="K645" t="s">
        <v>74</v>
      </c>
      <c r="L645" t="s">
        <v>74</v>
      </c>
      <c r="M645" t="s">
        <v>77</v>
      </c>
      <c r="N645" t="s">
        <v>3984</v>
      </c>
      <c r="O645" t="s">
        <v>74</v>
      </c>
      <c r="P645" t="s">
        <v>74</v>
      </c>
      <c r="Q645" t="s">
        <v>74</v>
      </c>
      <c r="R645" t="s">
        <v>74</v>
      </c>
      <c r="S645" t="s">
        <v>74</v>
      </c>
      <c r="T645" t="s">
        <v>74</v>
      </c>
      <c r="U645" t="s">
        <v>74</v>
      </c>
      <c r="V645" t="s">
        <v>74</v>
      </c>
      <c r="W645" t="s">
        <v>74</v>
      </c>
      <c r="X645" t="s">
        <v>74</v>
      </c>
      <c r="Y645" t="s">
        <v>74</v>
      </c>
      <c r="Z645" t="s">
        <v>74</v>
      </c>
      <c r="AA645" t="s">
        <v>74</v>
      </c>
      <c r="AB645" t="s">
        <v>74</v>
      </c>
      <c r="AC645" t="s">
        <v>74</v>
      </c>
      <c r="AD645" t="s">
        <v>74</v>
      </c>
      <c r="AE645" t="s">
        <v>74</v>
      </c>
      <c r="AF645" t="s">
        <v>74</v>
      </c>
      <c r="AG645">
        <v>0</v>
      </c>
      <c r="AH645">
        <v>0</v>
      </c>
      <c r="AI645">
        <v>0</v>
      </c>
      <c r="AJ645">
        <v>0</v>
      </c>
      <c r="AK645">
        <v>0</v>
      </c>
      <c r="AL645" t="s">
        <v>85</v>
      </c>
      <c r="AM645" t="s">
        <v>86</v>
      </c>
      <c r="AN645" t="s">
        <v>87</v>
      </c>
      <c r="AO645" t="s">
        <v>6338</v>
      </c>
      <c r="AP645" t="s">
        <v>74</v>
      </c>
      <c r="AQ645" t="s">
        <v>74</v>
      </c>
      <c r="AR645" t="s">
        <v>6340</v>
      </c>
      <c r="AS645" t="s">
        <v>6341</v>
      </c>
      <c r="AT645" t="s">
        <v>9181</v>
      </c>
      <c r="AU645">
        <v>2003</v>
      </c>
      <c r="AV645">
        <v>84</v>
      </c>
      <c r="AW645">
        <v>4</v>
      </c>
      <c r="AX645" t="s">
        <v>74</v>
      </c>
      <c r="AY645" t="s">
        <v>74</v>
      </c>
      <c r="AZ645" t="s">
        <v>74</v>
      </c>
      <c r="BA645" t="s">
        <v>74</v>
      </c>
      <c r="BB645">
        <v>443</v>
      </c>
      <c r="BC645">
        <v>444</v>
      </c>
      <c r="BD645" t="s">
        <v>74</v>
      </c>
      <c r="BE645" t="s">
        <v>74</v>
      </c>
      <c r="BF645" t="s">
        <v>74</v>
      </c>
      <c r="BG645" t="s">
        <v>74</v>
      </c>
      <c r="BH645" t="s">
        <v>74</v>
      </c>
      <c r="BI645">
        <v>2</v>
      </c>
      <c r="BJ645" t="s">
        <v>93</v>
      </c>
      <c r="BK645" t="s">
        <v>94</v>
      </c>
      <c r="BL645" t="s">
        <v>93</v>
      </c>
      <c r="BM645" t="s">
        <v>9282</v>
      </c>
      <c r="BN645" t="s">
        <v>74</v>
      </c>
      <c r="BO645" t="s">
        <v>74</v>
      </c>
      <c r="BP645" t="s">
        <v>74</v>
      </c>
      <c r="BQ645" t="s">
        <v>74</v>
      </c>
      <c r="BR645" t="s">
        <v>97</v>
      </c>
      <c r="BS645" t="s">
        <v>9283</v>
      </c>
      <c r="BT645" t="str">
        <f>HYPERLINK("https%3A%2F%2Fwww.webofscience.com%2Fwos%2Fwoscc%2Ffull-record%2FWOS:000182420400011","View Full Record in Web of Science")</f>
        <v>View Full Record in Web of Science</v>
      </c>
    </row>
    <row r="646" spans="1:72" x14ac:dyDescent="0.15">
      <c r="A646" t="s">
        <v>72</v>
      </c>
      <c r="B646" t="s">
        <v>9284</v>
      </c>
      <c r="C646" t="s">
        <v>74</v>
      </c>
      <c r="D646" t="s">
        <v>74</v>
      </c>
      <c r="E646" t="s">
        <v>74</v>
      </c>
      <c r="F646" t="s">
        <v>9284</v>
      </c>
      <c r="G646" t="s">
        <v>74</v>
      </c>
      <c r="H646" t="s">
        <v>74</v>
      </c>
      <c r="I646" t="s">
        <v>9285</v>
      </c>
      <c r="J646" t="s">
        <v>9286</v>
      </c>
      <c r="K646" t="s">
        <v>74</v>
      </c>
      <c r="L646" t="s">
        <v>74</v>
      </c>
      <c r="M646" t="s">
        <v>77</v>
      </c>
      <c r="N646" t="s">
        <v>52</v>
      </c>
      <c r="O646" t="s">
        <v>9287</v>
      </c>
      <c r="P646" t="s">
        <v>9288</v>
      </c>
      <c r="Q646" t="s">
        <v>9289</v>
      </c>
      <c r="R646" t="s">
        <v>74</v>
      </c>
      <c r="S646" t="s">
        <v>74</v>
      </c>
      <c r="T646" t="s">
        <v>74</v>
      </c>
      <c r="U646" t="s">
        <v>74</v>
      </c>
      <c r="V646" t="s">
        <v>74</v>
      </c>
      <c r="W646" t="s">
        <v>9290</v>
      </c>
      <c r="X646" t="s">
        <v>9291</v>
      </c>
      <c r="Y646" t="s">
        <v>74</v>
      </c>
      <c r="Z646" t="s">
        <v>74</v>
      </c>
      <c r="AA646" t="s">
        <v>74</v>
      </c>
      <c r="AB646" t="s">
        <v>74</v>
      </c>
      <c r="AC646" t="s">
        <v>74</v>
      </c>
      <c r="AD646" t="s">
        <v>74</v>
      </c>
      <c r="AE646" t="s">
        <v>74</v>
      </c>
      <c r="AF646" t="s">
        <v>74</v>
      </c>
      <c r="AG646">
        <v>0</v>
      </c>
      <c r="AH646">
        <v>0</v>
      </c>
      <c r="AI646">
        <v>0</v>
      </c>
      <c r="AJ646">
        <v>0</v>
      </c>
      <c r="AK646">
        <v>0</v>
      </c>
      <c r="AL646" t="s">
        <v>3611</v>
      </c>
      <c r="AM646" t="s">
        <v>964</v>
      </c>
      <c r="AN646" t="s">
        <v>3612</v>
      </c>
      <c r="AO646" t="s">
        <v>9292</v>
      </c>
      <c r="AP646" t="s">
        <v>74</v>
      </c>
      <c r="AQ646" t="s">
        <v>74</v>
      </c>
      <c r="AR646" t="s">
        <v>9293</v>
      </c>
      <c r="AS646" t="s">
        <v>9294</v>
      </c>
      <c r="AT646" t="s">
        <v>9181</v>
      </c>
      <c r="AU646">
        <v>2003</v>
      </c>
      <c r="AV646">
        <v>19</v>
      </c>
      <c r="AW646">
        <v>2</v>
      </c>
      <c r="AX646" t="s">
        <v>74</v>
      </c>
      <c r="AY646" t="s">
        <v>74</v>
      </c>
      <c r="AZ646" t="s">
        <v>74</v>
      </c>
      <c r="BA646" t="s">
        <v>74</v>
      </c>
      <c r="BB646">
        <v>161</v>
      </c>
      <c r="BC646">
        <v>161</v>
      </c>
      <c r="BD646" t="s">
        <v>74</v>
      </c>
      <c r="BE646" t="s">
        <v>74</v>
      </c>
      <c r="BF646" t="s">
        <v>74</v>
      </c>
      <c r="BG646" t="s">
        <v>74</v>
      </c>
      <c r="BH646" t="s">
        <v>74</v>
      </c>
      <c r="BI646">
        <v>1</v>
      </c>
      <c r="BJ646" t="s">
        <v>9295</v>
      </c>
      <c r="BK646" t="s">
        <v>854</v>
      </c>
      <c r="BL646" t="s">
        <v>9295</v>
      </c>
      <c r="BM646" t="s">
        <v>9296</v>
      </c>
      <c r="BN646" t="s">
        <v>74</v>
      </c>
      <c r="BO646" t="s">
        <v>74</v>
      </c>
      <c r="BP646" t="s">
        <v>74</v>
      </c>
      <c r="BQ646" t="s">
        <v>74</v>
      </c>
      <c r="BR646" t="s">
        <v>97</v>
      </c>
      <c r="BS646" t="s">
        <v>9297</v>
      </c>
      <c r="BT646" t="str">
        <f>HYPERLINK("https%3A%2F%2Fwww.webofscience.com%2Fwos%2Fwoscc%2Ffull-record%2FWOS:000182690600067","View Full Record in Web of Science")</f>
        <v>View Full Record in Web of Science</v>
      </c>
    </row>
    <row r="647" spans="1:72" x14ac:dyDescent="0.15">
      <c r="A647" t="s">
        <v>72</v>
      </c>
      <c r="B647" t="s">
        <v>9298</v>
      </c>
      <c r="C647" t="s">
        <v>74</v>
      </c>
      <c r="D647" t="s">
        <v>74</v>
      </c>
      <c r="E647" t="s">
        <v>74</v>
      </c>
      <c r="F647" t="s">
        <v>9298</v>
      </c>
      <c r="G647" t="s">
        <v>74</v>
      </c>
      <c r="H647" t="s">
        <v>74</v>
      </c>
      <c r="I647" t="s">
        <v>9299</v>
      </c>
      <c r="J647" t="s">
        <v>1474</v>
      </c>
      <c r="K647" t="s">
        <v>74</v>
      </c>
      <c r="L647" t="s">
        <v>74</v>
      </c>
      <c r="M647" t="s">
        <v>77</v>
      </c>
      <c r="N647" t="s">
        <v>78</v>
      </c>
      <c r="O647" t="s">
        <v>74</v>
      </c>
      <c r="P647" t="s">
        <v>74</v>
      </c>
      <c r="Q647" t="s">
        <v>74</v>
      </c>
      <c r="R647" t="s">
        <v>74</v>
      </c>
      <c r="S647" t="s">
        <v>74</v>
      </c>
      <c r="T647" t="s">
        <v>74</v>
      </c>
      <c r="U647" t="s">
        <v>9300</v>
      </c>
      <c r="V647" t="s">
        <v>9301</v>
      </c>
      <c r="W647" t="s">
        <v>9302</v>
      </c>
      <c r="X647" t="s">
        <v>9303</v>
      </c>
      <c r="Y647" t="s">
        <v>9304</v>
      </c>
      <c r="Z647" t="s">
        <v>9305</v>
      </c>
      <c r="AA647" t="s">
        <v>9306</v>
      </c>
      <c r="AB647" t="s">
        <v>74</v>
      </c>
      <c r="AC647" t="s">
        <v>74</v>
      </c>
      <c r="AD647" t="s">
        <v>74</v>
      </c>
      <c r="AE647" t="s">
        <v>74</v>
      </c>
      <c r="AF647" t="s">
        <v>74</v>
      </c>
      <c r="AG647">
        <v>97</v>
      </c>
      <c r="AH647">
        <v>145</v>
      </c>
      <c r="AI647">
        <v>157</v>
      </c>
      <c r="AJ647">
        <v>3</v>
      </c>
      <c r="AK647">
        <v>19</v>
      </c>
      <c r="AL647" t="s">
        <v>207</v>
      </c>
      <c r="AM647" t="s">
        <v>229</v>
      </c>
      <c r="AN647" t="s">
        <v>323</v>
      </c>
      <c r="AO647" t="s">
        <v>1483</v>
      </c>
      <c r="AP647" t="s">
        <v>1484</v>
      </c>
      <c r="AQ647" t="s">
        <v>74</v>
      </c>
      <c r="AR647" t="s">
        <v>1485</v>
      </c>
      <c r="AS647" t="s">
        <v>1486</v>
      </c>
      <c r="AT647" t="s">
        <v>9181</v>
      </c>
      <c r="AU647">
        <v>2003</v>
      </c>
      <c r="AV647">
        <v>20</v>
      </c>
      <c r="AW647">
        <v>6</v>
      </c>
      <c r="AX647" t="s">
        <v>74</v>
      </c>
      <c r="AY647" t="s">
        <v>74</v>
      </c>
      <c r="AZ647" t="s">
        <v>74</v>
      </c>
      <c r="BA647" t="s">
        <v>74</v>
      </c>
      <c r="BB647">
        <v>635</v>
      </c>
      <c r="BC647">
        <v>661</v>
      </c>
      <c r="BD647" t="s">
        <v>74</v>
      </c>
      <c r="BE647" t="s">
        <v>9307</v>
      </c>
      <c r="BF647" t="str">
        <f>HYPERLINK("http://dx.doi.org/10.1007/s00382-002-0292-2","http://dx.doi.org/10.1007/s00382-002-0292-2")</f>
        <v>http://dx.doi.org/10.1007/s00382-002-0292-2</v>
      </c>
      <c r="BG647" t="s">
        <v>74</v>
      </c>
      <c r="BH647" t="s">
        <v>74</v>
      </c>
      <c r="BI647">
        <v>27</v>
      </c>
      <c r="BJ647" t="s">
        <v>93</v>
      </c>
      <c r="BK647" t="s">
        <v>94</v>
      </c>
      <c r="BL647" t="s">
        <v>93</v>
      </c>
      <c r="BM647" t="s">
        <v>9308</v>
      </c>
      <c r="BN647" t="s">
        <v>74</v>
      </c>
      <c r="BO647" t="s">
        <v>74</v>
      </c>
      <c r="BP647" t="s">
        <v>74</v>
      </c>
      <c r="BQ647" t="s">
        <v>74</v>
      </c>
      <c r="BR647" t="s">
        <v>97</v>
      </c>
      <c r="BS647" t="s">
        <v>9309</v>
      </c>
      <c r="BT647" t="str">
        <f>HYPERLINK("https%3A%2F%2Fwww.webofscience.com%2Fwos%2Fwoscc%2Ffull-record%2FWOS:000183022400005","View Full Record in Web of Science")</f>
        <v>View Full Record in Web of Science</v>
      </c>
    </row>
    <row r="648" spans="1:72" x14ac:dyDescent="0.15">
      <c r="A648" t="s">
        <v>72</v>
      </c>
      <c r="B648" t="s">
        <v>9310</v>
      </c>
      <c r="C648" t="s">
        <v>74</v>
      </c>
      <c r="D648" t="s">
        <v>74</v>
      </c>
      <c r="E648" t="s">
        <v>74</v>
      </c>
      <c r="F648" t="s">
        <v>9310</v>
      </c>
      <c r="G648" t="s">
        <v>74</v>
      </c>
      <c r="H648" t="s">
        <v>74</v>
      </c>
      <c r="I648" t="s">
        <v>9311</v>
      </c>
      <c r="J648" t="s">
        <v>9312</v>
      </c>
      <c r="K648" t="s">
        <v>74</v>
      </c>
      <c r="L648" t="s">
        <v>74</v>
      </c>
      <c r="M648" t="s">
        <v>77</v>
      </c>
      <c r="N648" t="s">
        <v>556</v>
      </c>
      <c r="O648" t="s">
        <v>74</v>
      </c>
      <c r="P648" t="s">
        <v>74</v>
      </c>
      <c r="Q648" t="s">
        <v>74</v>
      </c>
      <c r="R648" t="s">
        <v>74</v>
      </c>
      <c r="S648" t="s">
        <v>74</v>
      </c>
      <c r="T648" t="s">
        <v>74</v>
      </c>
      <c r="U648" t="s">
        <v>9313</v>
      </c>
      <c r="V648" t="s">
        <v>9314</v>
      </c>
      <c r="W648" t="s">
        <v>9315</v>
      </c>
      <c r="X648" t="s">
        <v>9316</v>
      </c>
      <c r="Y648" t="s">
        <v>9317</v>
      </c>
      <c r="Z648" t="s">
        <v>9318</v>
      </c>
      <c r="AA648" t="s">
        <v>9319</v>
      </c>
      <c r="AB648" t="s">
        <v>9320</v>
      </c>
      <c r="AC648" t="s">
        <v>74</v>
      </c>
      <c r="AD648" t="s">
        <v>74</v>
      </c>
      <c r="AE648" t="s">
        <v>74</v>
      </c>
      <c r="AF648" t="s">
        <v>74</v>
      </c>
      <c r="AG648">
        <v>105</v>
      </c>
      <c r="AH648">
        <v>22</v>
      </c>
      <c r="AI648">
        <v>24</v>
      </c>
      <c r="AJ648">
        <v>0</v>
      </c>
      <c r="AK648">
        <v>9</v>
      </c>
      <c r="AL648" t="s">
        <v>207</v>
      </c>
      <c r="AM648" t="s">
        <v>208</v>
      </c>
      <c r="AN648" t="s">
        <v>209</v>
      </c>
      <c r="AO648" t="s">
        <v>9321</v>
      </c>
      <c r="AP648" t="s">
        <v>9322</v>
      </c>
      <c r="AQ648" t="s">
        <v>74</v>
      </c>
      <c r="AR648" t="s">
        <v>9312</v>
      </c>
      <c r="AS648" t="s">
        <v>9323</v>
      </c>
      <c r="AT648" t="s">
        <v>9181</v>
      </c>
      <c r="AU648">
        <v>2003</v>
      </c>
      <c r="AV648">
        <v>57</v>
      </c>
      <c r="AW648">
        <v>3</v>
      </c>
      <c r="AX648" t="s">
        <v>74</v>
      </c>
      <c r="AY648" t="s">
        <v>74</v>
      </c>
      <c r="AZ648" t="s">
        <v>74</v>
      </c>
      <c r="BA648" t="s">
        <v>74</v>
      </c>
      <c r="BB648">
        <v>265</v>
      </c>
      <c r="BC648">
        <v>286</v>
      </c>
      <c r="BD648" t="s">
        <v>74</v>
      </c>
      <c r="BE648" t="s">
        <v>9324</v>
      </c>
      <c r="BF648" t="str">
        <f>HYPERLINK("http://dx.doi.org/10.1023/A:1022829706609","http://dx.doi.org/10.1023/A:1022829706609")</f>
        <v>http://dx.doi.org/10.1023/A:1022829706609</v>
      </c>
      <c r="BG648" t="s">
        <v>74</v>
      </c>
      <c r="BH648" t="s">
        <v>74</v>
      </c>
      <c r="BI648">
        <v>22</v>
      </c>
      <c r="BJ648" t="s">
        <v>4485</v>
      </c>
      <c r="BK648" t="s">
        <v>94</v>
      </c>
      <c r="BL648" t="s">
        <v>4486</v>
      </c>
      <c r="BM648" t="s">
        <v>9325</v>
      </c>
      <c r="BN648" t="s">
        <v>74</v>
      </c>
      <c r="BO648" t="s">
        <v>74</v>
      </c>
      <c r="BP648" t="s">
        <v>74</v>
      </c>
      <c r="BQ648" t="s">
        <v>74</v>
      </c>
      <c r="BR648" t="s">
        <v>97</v>
      </c>
      <c r="BS648" t="s">
        <v>9326</v>
      </c>
      <c r="BT648" t="str">
        <f>HYPERLINK("https%3A%2F%2Fwww.webofscience.com%2Fwos%2Fwoscc%2Ffull-record%2FWOS:000181689100002","View Full Record in Web of Science")</f>
        <v>View Full Record in Web of Science</v>
      </c>
    </row>
    <row r="649" spans="1:72" x14ac:dyDescent="0.15">
      <c r="A649" t="s">
        <v>72</v>
      </c>
      <c r="B649" t="s">
        <v>9327</v>
      </c>
      <c r="C649" t="s">
        <v>74</v>
      </c>
      <c r="D649" t="s">
        <v>74</v>
      </c>
      <c r="E649" t="s">
        <v>74</v>
      </c>
      <c r="F649" t="s">
        <v>9327</v>
      </c>
      <c r="G649" t="s">
        <v>74</v>
      </c>
      <c r="H649" t="s">
        <v>74</v>
      </c>
      <c r="I649" t="s">
        <v>9328</v>
      </c>
      <c r="J649" t="s">
        <v>8003</v>
      </c>
      <c r="K649" t="s">
        <v>74</v>
      </c>
      <c r="L649" t="s">
        <v>74</v>
      </c>
      <c r="M649" t="s">
        <v>77</v>
      </c>
      <c r="N649" t="s">
        <v>78</v>
      </c>
      <c r="O649" t="s">
        <v>74</v>
      </c>
      <c r="P649" t="s">
        <v>74</v>
      </c>
      <c r="Q649" t="s">
        <v>74</v>
      </c>
      <c r="R649" t="s">
        <v>74</v>
      </c>
      <c r="S649" t="s">
        <v>74</v>
      </c>
      <c r="T649" t="s">
        <v>9329</v>
      </c>
      <c r="U649" t="s">
        <v>9330</v>
      </c>
      <c r="V649" t="s">
        <v>9331</v>
      </c>
      <c r="W649" t="s">
        <v>9332</v>
      </c>
      <c r="X649" t="s">
        <v>9333</v>
      </c>
      <c r="Y649" t="s">
        <v>9334</v>
      </c>
      <c r="Z649" t="s">
        <v>9335</v>
      </c>
      <c r="AA649" t="s">
        <v>9336</v>
      </c>
      <c r="AB649" t="s">
        <v>9337</v>
      </c>
      <c r="AC649" t="s">
        <v>74</v>
      </c>
      <c r="AD649" t="s">
        <v>74</v>
      </c>
      <c r="AE649" t="s">
        <v>74</v>
      </c>
      <c r="AF649" t="s">
        <v>74</v>
      </c>
      <c r="AG649">
        <v>61</v>
      </c>
      <c r="AH649">
        <v>34</v>
      </c>
      <c r="AI649">
        <v>35</v>
      </c>
      <c r="AJ649">
        <v>1</v>
      </c>
      <c r="AK649">
        <v>38</v>
      </c>
      <c r="AL649" t="s">
        <v>1571</v>
      </c>
      <c r="AM649" t="s">
        <v>229</v>
      </c>
      <c r="AN649" t="s">
        <v>1572</v>
      </c>
      <c r="AO649" t="s">
        <v>8012</v>
      </c>
      <c r="AP649" t="s">
        <v>8013</v>
      </c>
      <c r="AQ649" t="s">
        <v>74</v>
      </c>
      <c r="AR649" t="s">
        <v>8014</v>
      </c>
      <c r="AS649" t="s">
        <v>8015</v>
      </c>
      <c r="AT649" t="s">
        <v>9181</v>
      </c>
      <c r="AU649">
        <v>2003</v>
      </c>
      <c r="AV649">
        <v>134</v>
      </c>
      <c r="AW649">
        <v>4</v>
      </c>
      <c r="AX649" t="s">
        <v>74</v>
      </c>
      <c r="AY649" t="s">
        <v>74</v>
      </c>
      <c r="AZ649" t="s">
        <v>74</v>
      </c>
      <c r="BA649" t="s">
        <v>74</v>
      </c>
      <c r="BB649">
        <v>847</v>
      </c>
      <c r="BC649">
        <v>862</v>
      </c>
      <c r="BD649" t="s">
        <v>74</v>
      </c>
      <c r="BE649" t="s">
        <v>9338</v>
      </c>
      <c r="BF649" t="str">
        <f>HYPERLINK("http://dx.doi.org/10.1016/S1095-6433(03)00045-X","http://dx.doi.org/10.1016/S1095-6433(03)00045-X")</f>
        <v>http://dx.doi.org/10.1016/S1095-6433(03)00045-X</v>
      </c>
      <c r="BG649" t="s">
        <v>74</v>
      </c>
      <c r="BH649" t="s">
        <v>74</v>
      </c>
      <c r="BI649">
        <v>16</v>
      </c>
      <c r="BJ649" t="s">
        <v>8017</v>
      </c>
      <c r="BK649" t="s">
        <v>94</v>
      </c>
      <c r="BL649" t="s">
        <v>8017</v>
      </c>
      <c r="BM649" t="s">
        <v>9339</v>
      </c>
      <c r="BN649">
        <v>12814793</v>
      </c>
      <c r="BO649" t="s">
        <v>74</v>
      </c>
      <c r="BP649" t="s">
        <v>74</v>
      </c>
      <c r="BQ649" t="s">
        <v>74</v>
      </c>
      <c r="BR649" t="s">
        <v>97</v>
      </c>
      <c r="BS649" t="s">
        <v>9340</v>
      </c>
      <c r="BT649" t="str">
        <f>HYPERLINK("https%3A%2F%2Fwww.webofscience.com%2Fwos%2Fwoscc%2Ffull-record%2FWOS:000182180000017","View Full Record in Web of Science")</f>
        <v>View Full Record in Web of Science</v>
      </c>
    </row>
    <row r="650" spans="1:72" x14ac:dyDescent="0.15">
      <c r="A650" t="s">
        <v>72</v>
      </c>
      <c r="B650" t="s">
        <v>9341</v>
      </c>
      <c r="C650" t="s">
        <v>74</v>
      </c>
      <c r="D650" t="s">
        <v>74</v>
      </c>
      <c r="E650" t="s">
        <v>74</v>
      </c>
      <c r="F650" t="s">
        <v>9341</v>
      </c>
      <c r="G650" t="s">
        <v>74</v>
      </c>
      <c r="H650" t="s">
        <v>74</v>
      </c>
      <c r="I650" t="s">
        <v>9342</v>
      </c>
      <c r="J650" t="s">
        <v>6361</v>
      </c>
      <c r="K650" t="s">
        <v>74</v>
      </c>
      <c r="L650" t="s">
        <v>74</v>
      </c>
      <c r="M650" t="s">
        <v>77</v>
      </c>
      <c r="N650" t="s">
        <v>78</v>
      </c>
      <c r="O650" t="s">
        <v>74</v>
      </c>
      <c r="P650" t="s">
        <v>74</v>
      </c>
      <c r="Q650" t="s">
        <v>74</v>
      </c>
      <c r="R650" t="s">
        <v>74</v>
      </c>
      <c r="S650" t="s">
        <v>74</v>
      </c>
      <c r="T650" t="s">
        <v>9343</v>
      </c>
      <c r="U650" t="s">
        <v>9344</v>
      </c>
      <c r="V650" t="s">
        <v>9345</v>
      </c>
      <c r="W650" t="s">
        <v>9346</v>
      </c>
      <c r="X650" t="s">
        <v>4630</v>
      </c>
      <c r="Y650" t="s">
        <v>9347</v>
      </c>
      <c r="Z650" t="s">
        <v>9348</v>
      </c>
      <c r="AA650" t="s">
        <v>74</v>
      </c>
      <c r="AB650" t="s">
        <v>74</v>
      </c>
      <c r="AC650" t="s">
        <v>74</v>
      </c>
      <c r="AD650" t="s">
        <v>74</v>
      </c>
      <c r="AE650" t="s">
        <v>74</v>
      </c>
      <c r="AF650" t="s">
        <v>74</v>
      </c>
      <c r="AG650">
        <v>56</v>
      </c>
      <c r="AH650">
        <v>15</v>
      </c>
      <c r="AI650">
        <v>17</v>
      </c>
      <c r="AJ650">
        <v>0</v>
      </c>
      <c r="AK650">
        <v>4</v>
      </c>
      <c r="AL650" t="s">
        <v>1571</v>
      </c>
      <c r="AM650" t="s">
        <v>229</v>
      </c>
      <c r="AN650" t="s">
        <v>6371</v>
      </c>
      <c r="AO650" t="s">
        <v>6372</v>
      </c>
      <c r="AP650" t="s">
        <v>6373</v>
      </c>
      <c r="AQ650" t="s">
        <v>74</v>
      </c>
      <c r="AR650" t="s">
        <v>6374</v>
      </c>
      <c r="AS650" t="s">
        <v>6375</v>
      </c>
      <c r="AT650" t="s">
        <v>9181</v>
      </c>
      <c r="AU650">
        <v>2003</v>
      </c>
      <c r="AV650">
        <v>134</v>
      </c>
      <c r="AW650">
        <v>4</v>
      </c>
      <c r="AX650" t="s">
        <v>74</v>
      </c>
      <c r="AY650" t="s">
        <v>74</v>
      </c>
      <c r="AZ650" t="s">
        <v>74</v>
      </c>
      <c r="BA650" t="s">
        <v>74</v>
      </c>
      <c r="BB650">
        <v>651</v>
      </c>
      <c r="BC650">
        <v>667</v>
      </c>
      <c r="BD650" t="s">
        <v>74</v>
      </c>
      <c r="BE650" t="s">
        <v>9349</v>
      </c>
      <c r="BF650" t="str">
        <f>HYPERLINK("http://dx.doi.org/10.1016/S1096-4959(03)00025-3","http://dx.doi.org/10.1016/S1096-4959(03)00025-3")</f>
        <v>http://dx.doi.org/10.1016/S1096-4959(03)00025-3</v>
      </c>
      <c r="BG650" t="s">
        <v>74</v>
      </c>
      <c r="BH650" t="s">
        <v>74</v>
      </c>
      <c r="BI650">
        <v>17</v>
      </c>
      <c r="BJ650" t="s">
        <v>6377</v>
      </c>
      <c r="BK650" t="s">
        <v>94</v>
      </c>
      <c r="BL650" t="s">
        <v>6377</v>
      </c>
      <c r="BM650" t="s">
        <v>9350</v>
      </c>
      <c r="BN650">
        <v>12670791</v>
      </c>
      <c r="BO650" t="s">
        <v>74</v>
      </c>
      <c r="BP650" t="s">
        <v>74</v>
      </c>
      <c r="BQ650" t="s">
        <v>74</v>
      </c>
      <c r="BR650" t="s">
        <v>97</v>
      </c>
      <c r="BS650" t="s">
        <v>9351</v>
      </c>
      <c r="BT650" t="str">
        <f>HYPERLINK("https%3A%2F%2Fwww.webofscience.com%2Fwos%2Fwoscc%2Ffull-record%2FWOS:000182147300010","View Full Record in Web of Science")</f>
        <v>View Full Record in Web of Science</v>
      </c>
    </row>
    <row r="651" spans="1:72" x14ac:dyDescent="0.15">
      <c r="A651" t="s">
        <v>72</v>
      </c>
      <c r="B651" t="s">
        <v>9352</v>
      </c>
      <c r="C651" t="s">
        <v>74</v>
      </c>
      <c r="D651" t="s">
        <v>74</v>
      </c>
      <c r="E651" t="s">
        <v>74</v>
      </c>
      <c r="F651" t="s">
        <v>9352</v>
      </c>
      <c r="G651" t="s">
        <v>74</v>
      </c>
      <c r="H651" t="s">
        <v>74</v>
      </c>
      <c r="I651" t="s">
        <v>9353</v>
      </c>
      <c r="J651" t="s">
        <v>9354</v>
      </c>
      <c r="K651" t="s">
        <v>74</v>
      </c>
      <c r="L651" t="s">
        <v>74</v>
      </c>
      <c r="M651" t="s">
        <v>77</v>
      </c>
      <c r="N651" t="s">
        <v>78</v>
      </c>
      <c r="O651" t="s">
        <v>74</v>
      </c>
      <c r="P651" t="s">
        <v>74</v>
      </c>
      <c r="Q651" t="s">
        <v>74</v>
      </c>
      <c r="R651" t="s">
        <v>74</v>
      </c>
      <c r="S651" t="s">
        <v>74</v>
      </c>
      <c r="T651" t="s">
        <v>9355</v>
      </c>
      <c r="U651" t="s">
        <v>9356</v>
      </c>
      <c r="V651" t="s">
        <v>9357</v>
      </c>
      <c r="W651" t="s">
        <v>9358</v>
      </c>
      <c r="X651" t="s">
        <v>9359</v>
      </c>
      <c r="Y651" t="s">
        <v>9360</v>
      </c>
      <c r="Z651" t="s">
        <v>74</v>
      </c>
      <c r="AA651" t="s">
        <v>74</v>
      </c>
      <c r="AB651" t="s">
        <v>5992</v>
      </c>
      <c r="AC651" t="s">
        <v>74</v>
      </c>
      <c r="AD651" t="s">
        <v>74</v>
      </c>
      <c r="AE651" t="s">
        <v>74</v>
      </c>
      <c r="AF651" t="s">
        <v>74</v>
      </c>
      <c r="AG651">
        <v>40</v>
      </c>
      <c r="AH651">
        <v>3</v>
      </c>
      <c r="AI651">
        <v>4</v>
      </c>
      <c r="AJ651">
        <v>0</v>
      </c>
      <c r="AK651">
        <v>3</v>
      </c>
      <c r="AL651" t="s">
        <v>3611</v>
      </c>
      <c r="AM651" t="s">
        <v>964</v>
      </c>
      <c r="AN651" t="s">
        <v>3612</v>
      </c>
      <c r="AO651" t="s">
        <v>9361</v>
      </c>
      <c r="AP651" t="s">
        <v>74</v>
      </c>
      <c r="AQ651" t="s">
        <v>74</v>
      </c>
      <c r="AR651" t="s">
        <v>9362</v>
      </c>
      <c r="AS651" t="s">
        <v>9363</v>
      </c>
      <c r="AT651" t="s">
        <v>9181</v>
      </c>
      <c r="AU651">
        <v>2003</v>
      </c>
      <c r="AV651">
        <v>24</v>
      </c>
      <c r="AW651">
        <v>2</v>
      </c>
      <c r="AX651" t="s">
        <v>74</v>
      </c>
      <c r="AY651" t="s">
        <v>74</v>
      </c>
      <c r="AZ651" t="s">
        <v>74</v>
      </c>
      <c r="BA651" t="s">
        <v>74</v>
      </c>
      <c r="BB651">
        <v>111</v>
      </c>
      <c r="BC651">
        <v>118</v>
      </c>
      <c r="BD651" t="s">
        <v>74</v>
      </c>
      <c r="BE651" t="s">
        <v>9364</v>
      </c>
      <c r="BF651" t="str">
        <f>HYPERLINK("http://dx.doi.org/10.1016/S0195-6671(03)00035-1","http://dx.doi.org/10.1016/S0195-6671(03)00035-1")</f>
        <v>http://dx.doi.org/10.1016/S0195-6671(03)00035-1</v>
      </c>
      <c r="BG651" t="s">
        <v>74</v>
      </c>
      <c r="BH651" t="s">
        <v>74</v>
      </c>
      <c r="BI651">
        <v>8</v>
      </c>
      <c r="BJ651" t="s">
        <v>9365</v>
      </c>
      <c r="BK651" t="s">
        <v>94</v>
      </c>
      <c r="BL651" t="s">
        <v>9365</v>
      </c>
      <c r="BM651" t="s">
        <v>9366</v>
      </c>
      <c r="BN651" t="s">
        <v>74</v>
      </c>
      <c r="BO651" t="s">
        <v>74</v>
      </c>
      <c r="BP651" t="s">
        <v>74</v>
      </c>
      <c r="BQ651" t="s">
        <v>74</v>
      </c>
      <c r="BR651" t="s">
        <v>97</v>
      </c>
      <c r="BS651" t="s">
        <v>9367</v>
      </c>
      <c r="BT651" t="str">
        <f>HYPERLINK("https%3A%2F%2Fwww.webofscience.com%2Fwos%2Fwoscc%2Ffull-record%2FWOS:000184609000003","View Full Record in Web of Science")</f>
        <v>View Full Record in Web of Science</v>
      </c>
    </row>
    <row r="652" spans="1:72" x14ac:dyDescent="0.15">
      <c r="A652" t="s">
        <v>72</v>
      </c>
      <c r="B652" t="s">
        <v>9368</v>
      </c>
      <c r="C652" t="s">
        <v>74</v>
      </c>
      <c r="D652" t="s">
        <v>74</v>
      </c>
      <c r="E652" t="s">
        <v>74</v>
      </c>
      <c r="F652" t="s">
        <v>9368</v>
      </c>
      <c r="G652" t="s">
        <v>74</v>
      </c>
      <c r="H652" t="s">
        <v>74</v>
      </c>
      <c r="I652" t="s">
        <v>9369</v>
      </c>
      <c r="J652" t="s">
        <v>9354</v>
      </c>
      <c r="K652" t="s">
        <v>74</v>
      </c>
      <c r="L652" t="s">
        <v>74</v>
      </c>
      <c r="M652" t="s">
        <v>77</v>
      </c>
      <c r="N652" t="s">
        <v>78</v>
      </c>
      <c r="O652" t="s">
        <v>74</v>
      </c>
      <c r="P652" t="s">
        <v>74</v>
      </c>
      <c r="Q652" t="s">
        <v>74</v>
      </c>
      <c r="R652" t="s">
        <v>74</v>
      </c>
      <c r="S652" t="s">
        <v>74</v>
      </c>
      <c r="T652" t="s">
        <v>9370</v>
      </c>
      <c r="U652" t="s">
        <v>9371</v>
      </c>
      <c r="V652" t="s">
        <v>9372</v>
      </c>
      <c r="W652" t="s">
        <v>9373</v>
      </c>
      <c r="X652" t="s">
        <v>9374</v>
      </c>
      <c r="Y652" t="s">
        <v>9375</v>
      </c>
      <c r="Z652" t="s">
        <v>74</v>
      </c>
      <c r="AA652" t="s">
        <v>9376</v>
      </c>
      <c r="AB652" t="s">
        <v>74</v>
      </c>
      <c r="AC652" t="s">
        <v>74</v>
      </c>
      <c r="AD652" t="s">
        <v>74</v>
      </c>
      <c r="AE652" t="s">
        <v>74</v>
      </c>
      <c r="AF652" t="s">
        <v>74</v>
      </c>
      <c r="AG652">
        <v>76</v>
      </c>
      <c r="AH652">
        <v>65</v>
      </c>
      <c r="AI652">
        <v>70</v>
      </c>
      <c r="AJ652">
        <v>0</v>
      </c>
      <c r="AK652">
        <v>3</v>
      </c>
      <c r="AL652" t="s">
        <v>3611</v>
      </c>
      <c r="AM652" t="s">
        <v>964</v>
      </c>
      <c r="AN652" t="s">
        <v>3612</v>
      </c>
      <c r="AO652" t="s">
        <v>9361</v>
      </c>
      <c r="AP652" t="s">
        <v>74</v>
      </c>
      <c r="AQ652" t="s">
        <v>74</v>
      </c>
      <c r="AR652" t="s">
        <v>9362</v>
      </c>
      <c r="AS652" t="s">
        <v>9363</v>
      </c>
      <c r="AT652" t="s">
        <v>9181</v>
      </c>
      <c r="AU652">
        <v>2003</v>
      </c>
      <c r="AV652">
        <v>24</v>
      </c>
      <c r="AW652">
        <v>2</v>
      </c>
      <c r="AX652" t="s">
        <v>74</v>
      </c>
      <c r="AY652" t="s">
        <v>74</v>
      </c>
      <c r="AZ652" t="s">
        <v>74</v>
      </c>
      <c r="BA652" t="s">
        <v>74</v>
      </c>
      <c r="BB652">
        <v>157</v>
      </c>
      <c r="BC652">
        <v>170</v>
      </c>
      <c r="BD652" t="s">
        <v>74</v>
      </c>
      <c r="BE652" t="s">
        <v>9377</v>
      </c>
      <c r="BF652" t="str">
        <f>HYPERLINK("http://dx.doi.org/10.1016/S0195-6671(03)00036-3","http://dx.doi.org/10.1016/S0195-6671(03)00036-3")</f>
        <v>http://dx.doi.org/10.1016/S0195-6671(03)00036-3</v>
      </c>
      <c r="BG652" t="s">
        <v>74</v>
      </c>
      <c r="BH652" t="s">
        <v>74</v>
      </c>
      <c r="BI652">
        <v>14</v>
      </c>
      <c r="BJ652" t="s">
        <v>9365</v>
      </c>
      <c r="BK652" t="s">
        <v>94</v>
      </c>
      <c r="BL652" t="s">
        <v>9365</v>
      </c>
      <c r="BM652" t="s">
        <v>9366</v>
      </c>
      <c r="BN652" t="s">
        <v>74</v>
      </c>
      <c r="BO652" t="s">
        <v>1767</v>
      </c>
      <c r="BP652" t="s">
        <v>74</v>
      </c>
      <c r="BQ652" t="s">
        <v>74</v>
      </c>
      <c r="BR652" t="s">
        <v>97</v>
      </c>
      <c r="BS652" t="s">
        <v>9378</v>
      </c>
      <c r="BT652" t="str">
        <f>HYPERLINK("https%3A%2F%2Fwww.webofscience.com%2Fwos%2Fwoscc%2Ffull-record%2FWOS:000184609000009","View Full Record in Web of Science")</f>
        <v>View Full Record in Web of Science</v>
      </c>
    </row>
    <row r="653" spans="1:72" x14ac:dyDescent="0.15">
      <c r="A653" t="s">
        <v>72</v>
      </c>
      <c r="B653" t="s">
        <v>9379</v>
      </c>
      <c r="C653" t="s">
        <v>74</v>
      </c>
      <c r="D653" t="s">
        <v>74</v>
      </c>
      <c r="E653" t="s">
        <v>74</v>
      </c>
      <c r="F653" t="s">
        <v>9379</v>
      </c>
      <c r="G653" t="s">
        <v>74</v>
      </c>
      <c r="H653" t="s">
        <v>74</v>
      </c>
      <c r="I653" t="s">
        <v>9380</v>
      </c>
      <c r="J653" t="s">
        <v>3394</v>
      </c>
      <c r="K653" t="s">
        <v>74</v>
      </c>
      <c r="L653" t="s">
        <v>74</v>
      </c>
      <c r="M653" t="s">
        <v>77</v>
      </c>
      <c r="N653" t="s">
        <v>78</v>
      </c>
      <c r="O653" t="s">
        <v>74</v>
      </c>
      <c r="P653" t="s">
        <v>74</v>
      </c>
      <c r="Q653" t="s">
        <v>74</v>
      </c>
      <c r="R653" t="s">
        <v>74</v>
      </c>
      <c r="S653" t="s">
        <v>74</v>
      </c>
      <c r="T653" t="s">
        <v>9381</v>
      </c>
      <c r="U653" t="s">
        <v>9382</v>
      </c>
      <c r="V653" t="s">
        <v>9383</v>
      </c>
      <c r="W653" t="s">
        <v>9384</v>
      </c>
      <c r="X653" t="s">
        <v>9385</v>
      </c>
      <c r="Y653" t="s">
        <v>9386</v>
      </c>
      <c r="Z653" t="s">
        <v>9387</v>
      </c>
      <c r="AA653" t="s">
        <v>74</v>
      </c>
      <c r="AB653" t="s">
        <v>74</v>
      </c>
      <c r="AC653" t="s">
        <v>74</v>
      </c>
      <c r="AD653" t="s">
        <v>74</v>
      </c>
      <c r="AE653" t="s">
        <v>74</v>
      </c>
      <c r="AF653" t="s">
        <v>74</v>
      </c>
      <c r="AG653">
        <v>23</v>
      </c>
      <c r="AH653">
        <v>49</v>
      </c>
      <c r="AI653">
        <v>63</v>
      </c>
      <c r="AJ653">
        <v>1</v>
      </c>
      <c r="AK653">
        <v>37</v>
      </c>
      <c r="AL653" t="s">
        <v>2341</v>
      </c>
      <c r="AM653" t="s">
        <v>2342</v>
      </c>
      <c r="AN653" t="s">
        <v>2343</v>
      </c>
      <c r="AO653" t="s">
        <v>3401</v>
      </c>
      <c r="AP653" t="s">
        <v>3402</v>
      </c>
      <c r="AQ653" t="s">
        <v>74</v>
      </c>
      <c r="AR653" t="s">
        <v>3394</v>
      </c>
      <c r="AS653" t="s">
        <v>3403</v>
      </c>
      <c r="AT653" t="s">
        <v>9181</v>
      </c>
      <c r="AU653">
        <v>2003</v>
      </c>
      <c r="AV653">
        <v>46</v>
      </c>
      <c r="AW653">
        <v>2</v>
      </c>
      <c r="AX653" t="s">
        <v>74</v>
      </c>
      <c r="AY653" t="s">
        <v>74</v>
      </c>
      <c r="AZ653" t="s">
        <v>74</v>
      </c>
      <c r="BA653" t="s">
        <v>74</v>
      </c>
      <c r="BB653">
        <v>174</v>
      </c>
      <c r="BC653">
        <v>181</v>
      </c>
      <c r="BD653" t="s">
        <v>74</v>
      </c>
      <c r="BE653" t="s">
        <v>9388</v>
      </c>
      <c r="BF653" t="str">
        <f>HYPERLINK("http://dx.doi.org/10.1016/S0011-2240(03)00023-3","http://dx.doi.org/10.1016/S0011-2240(03)00023-3")</f>
        <v>http://dx.doi.org/10.1016/S0011-2240(03)00023-3</v>
      </c>
      <c r="BG653" t="s">
        <v>74</v>
      </c>
      <c r="BH653" t="s">
        <v>74</v>
      </c>
      <c r="BI653">
        <v>8</v>
      </c>
      <c r="BJ653" t="s">
        <v>3405</v>
      </c>
      <c r="BK653" t="s">
        <v>94</v>
      </c>
      <c r="BL653" t="s">
        <v>3406</v>
      </c>
      <c r="BM653" t="s">
        <v>9389</v>
      </c>
      <c r="BN653">
        <v>12686207</v>
      </c>
      <c r="BO653" t="s">
        <v>74</v>
      </c>
      <c r="BP653" t="s">
        <v>74</v>
      </c>
      <c r="BQ653" t="s">
        <v>74</v>
      </c>
      <c r="BR653" t="s">
        <v>97</v>
      </c>
      <c r="BS653" t="s">
        <v>9390</v>
      </c>
      <c r="BT653" t="str">
        <f>HYPERLINK("https%3A%2F%2Fwww.webofscience.com%2Fwos%2Fwoscc%2Ffull-record%2FWOS:000182449300007","View Full Record in Web of Science")</f>
        <v>View Full Record in Web of Science</v>
      </c>
    </row>
    <row r="654" spans="1:72" x14ac:dyDescent="0.15">
      <c r="A654" t="s">
        <v>72</v>
      </c>
      <c r="B654" t="s">
        <v>9391</v>
      </c>
      <c r="C654" t="s">
        <v>74</v>
      </c>
      <c r="D654" t="s">
        <v>74</v>
      </c>
      <c r="E654" t="s">
        <v>74</v>
      </c>
      <c r="F654" t="s">
        <v>9391</v>
      </c>
      <c r="G654" t="s">
        <v>74</v>
      </c>
      <c r="H654" t="s">
        <v>74</v>
      </c>
      <c r="I654" t="s">
        <v>9392</v>
      </c>
      <c r="J654" t="s">
        <v>4894</v>
      </c>
      <c r="K654" t="s">
        <v>74</v>
      </c>
      <c r="L654" t="s">
        <v>74</v>
      </c>
      <c r="M654" t="s">
        <v>77</v>
      </c>
      <c r="N654" t="s">
        <v>78</v>
      </c>
      <c r="O654" t="s">
        <v>74</v>
      </c>
      <c r="P654" t="s">
        <v>74</v>
      </c>
      <c r="Q654" t="s">
        <v>74</v>
      </c>
      <c r="R654" t="s">
        <v>74</v>
      </c>
      <c r="S654" t="s">
        <v>74</v>
      </c>
      <c r="T654" t="s">
        <v>74</v>
      </c>
      <c r="U654" t="s">
        <v>9393</v>
      </c>
      <c r="V654" t="s">
        <v>9394</v>
      </c>
      <c r="W654" t="s">
        <v>9395</v>
      </c>
      <c r="X654" t="s">
        <v>9396</v>
      </c>
      <c r="Y654" t="s">
        <v>9397</v>
      </c>
      <c r="Z654" t="s">
        <v>9398</v>
      </c>
      <c r="AA654" t="s">
        <v>9399</v>
      </c>
      <c r="AB654" t="s">
        <v>9400</v>
      </c>
      <c r="AC654" t="s">
        <v>74</v>
      </c>
      <c r="AD654" t="s">
        <v>74</v>
      </c>
      <c r="AE654" t="s">
        <v>74</v>
      </c>
      <c r="AF654" t="s">
        <v>74</v>
      </c>
      <c r="AG654">
        <v>32</v>
      </c>
      <c r="AH654">
        <v>75</v>
      </c>
      <c r="AI654">
        <v>90</v>
      </c>
      <c r="AJ654">
        <v>0</v>
      </c>
      <c r="AK654">
        <v>26</v>
      </c>
      <c r="AL654" t="s">
        <v>250</v>
      </c>
      <c r="AM654" t="s">
        <v>251</v>
      </c>
      <c r="AN654" t="s">
        <v>252</v>
      </c>
      <c r="AO654" t="s">
        <v>4898</v>
      </c>
      <c r="AP654" t="s">
        <v>9401</v>
      </c>
      <c r="AQ654" t="s">
        <v>74</v>
      </c>
      <c r="AR654" t="s">
        <v>4899</v>
      </c>
      <c r="AS654" t="s">
        <v>4900</v>
      </c>
      <c r="AT654" t="s">
        <v>9181</v>
      </c>
      <c r="AU654">
        <v>2003</v>
      </c>
      <c r="AV654">
        <v>5</v>
      </c>
      <c r="AW654">
        <v>4</v>
      </c>
      <c r="AX654" t="s">
        <v>74</v>
      </c>
      <c r="AY654" t="s">
        <v>74</v>
      </c>
      <c r="AZ654" t="s">
        <v>74</v>
      </c>
      <c r="BA654" t="s">
        <v>74</v>
      </c>
      <c r="BB654">
        <v>231</v>
      </c>
      <c r="BC654">
        <v>237</v>
      </c>
      <c r="BD654" t="s">
        <v>74</v>
      </c>
      <c r="BE654" t="s">
        <v>74</v>
      </c>
      <c r="BF654" t="s">
        <v>74</v>
      </c>
      <c r="BG654" t="s">
        <v>74</v>
      </c>
      <c r="BH654" t="s">
        <v>74</v>
      </c>
      <c r="BI654">
        <v>7</v>
      </c>
      <c r="BJ654" t="s">
        <v>1912</v>
      </c>
      <c r="BK654" t="s">
        <v>94</v>
      </c>
      <c r="BL654" t="s">
        <v>1912</v>
      </c>
      <c r="BM654" t="s">
        <v>9402</v>
      </c>
      <c r="BN654">
        <v>12662170</v>
      </c>
      <c r="BO654" t="s">
        <v>74</v>
      </c>
      <c r="BP654" t="s">
        <v>74</v>
      </c>
      <c r="BQ654" t="s">
        <v>74</v>
      </c>
      <c r="BR654" t="s">
        <v>97</v>
      </c>
      <c r="BS654" t="s">
        <v>9403</v>
      </c>
      <c r="BT654" t="str">
        <f>HYPERLINK("https%3A%2F%2Fwww.webofscience.com%2Fwos%2Fwoscc%2Ffull-record%2FWOS:000181861500002","View Full Record in Web of Science")</f>
        <v>View Full Record in Web of Science</v>
      </c>
    </row>
    <row r="655" spans="1:72" x14ac:dyDescent="0.15">
      <c r="A655" t="s">
        <v>72</v>
      </c>
      <c r="B655" t="s">
        <v>9404</v>
      </c>
      <c r="C655" t="s">
        <v>74</v>
      </c>
      <c r="D655" t="s">
        <v>74</v>
      </c>
      <c r="E655" t="s">
        <v>74</v>
      </c>
      <c r="F655" t="s">
        <v>9404</v>
      </c>
      <c r="G655" t="s">
        <v>74</v>
      </c>
      <c r="H655" t="s">
        <v>74</v>
      </c>
      <c r="I655" t="s">
        <v>9405</v>
      </c>
      <c r="J655" t="s">
        <v>4894</v>
      </c>
      <c r="K655" t="s">
        <v>74</v>
      </c>
      <c r="L655" t="s">
        <v>74</v>
      </c>
      <c r="M655" t="s">
        <v>77</v>
      </c>
      <c r="N655" t="s">
        <v>78</v>
      </c>
      <c r="O655" t="s">
        <v>74</v>
      </c>
      <c r="P655" t="s">
        <v>74</v>
      </c>
      <c r="Q655" t="s">
        <v>74</v>
      </c>
      <c r="R655" t="s">
        <v>74</v>
      </c>
      <c r="S655" t="s">
        <v>74</v>
      </c>
      <c r="T655" t="s">
        <v>74</v>
      </c>
      <c r="U655" t="s">
        <v>9406</v>
      </c>
      <c r="V655" t="s">
        <v>9407</v>
      </c>
      <c r="W655" t="s">
        <v>9408</v>
      </c>
      <c r="X655" t="s">
        <v>9409</v>
      </c>
      <c r="Y655" t="s">
        <v>9410</v>
      </c>
      <c r="Z655" t="s">
        <v>9411</v>
      </c>
      <c r="AA655" t="s">
        <v>9412</v>
      </c>
      <c r="AB655" t="s">
        <v>9413</v>
      </c>
      <c r="AC655" t="s">
        <v>74</v>
      </c>
      <c r="AD655" t="s">
        <v>74</v>
      </c>
      <c r="AE655" t="s">
        <v>74</v>
      </c>
      <c r="AF655" t="s">
        <v>74</v>
      </c>
      <c r="AG655">
        <v>31</v>
      </c>
      <c r="AH655">
        <v>138</v>
      </c>
      <c r="AI655">
        <v>168</v>
      </c>
      <c r="AJ655">
        <v>4</v>
      </c>
      <c r="AK655">
        <v>28</v>
      </c>
      <c r="AL655" t="s">
        <v>3996</v>
      </c>
      <c r="AM655" t="s">
        <v>251</v>
      </c>
      <c r="AN655" t="s">
        <v>252</v>
      </c>
      <c r="AO655" t="s">
        <v>4898</v>
      </c>
      <c r="AP655" t="s">
        <v>9401</v>
      </c>
      <c r="AQ655" t="s">
        <v>74</v>
      </c>
      <c r="AR655" t="s">
        <v>4899</v>
      </c>
      <c r="AS655" t="s">
        <v>4900</v>
      </c>
      <c r="AT655" t="s">
        <v>9181</v>
      </c>
      <c r="AU655">
        <v>2003</v>
      </c>
      <c r="AV655">
        <v>5</v>
      </c>
      <c r="AW655">
        <v>4</v>
      </c>
      <c r="AX655" t="s">
        <v>74</v>
      </c>
      <c r="AY655" t="s">
        <v>74</v>
      </c>
      <c r="AZ655" t="s">
        <v>74</v>
      </c>
      <c r="BA655" t="s">
        <v>74</v>
      </c>
      <c r="BB655">
        <v>321</v>
      </c>
      <c r="BC655">
        <v>326</v>
      </c>
      <c r="BD655" t="s">
        <v>74</v>
      </c>
      <c r="BE655" t="s">
        <v>9414</v>
      </c>
      <c r="BF655" t="str">
        <f>HYPERLINK("http://dx.doi.org/10.1046/j.1462-2920.2003.00419.x","http://dx.doi.org/10.1046/j.1462-2920.2003.00419.x")</f>
        <v>http://dx.doi.org/10.1046/j.1462-2920.2003.00419.x</v>
      </c>
      <c r="BG655" t="s">
        <v>74</v>
      </c>
      <c r="BH655" t="s">
        <v>74</v>
      </c>
      <c r="BI655">
        <v>6</v>
      </c>
      <c r="BJ655" t="s">
        <v>1912</v>
      </c>
      <c r="BK655" t="s">
        <v>94</v>
      </c>
      <c r="BL655" t="s">
        <v>1912</v>
      </c>
      <c r="BM655" t="s">
        <v>9402</v>
      </c>
      <c r="BN655">
        <v>12662179</v>
      </c>
      <c r="BO655" t="s">
        <v>74</v>
      </c>
      <c r="BP655" t="s">
        <v>74</v>
      </c>
      <c r="BQ655" t="s">
        <v>74</v>
      </c>
      <c r="BR655" t="s">
        <v>97</v>
      </c>
      <c r="BS655" t="s">
        <v>9415</v>
      </c>
      <c r="BT655" t="str">
        <f>HYPERLINK("https%3A%2F%2Fwww.webofscience.com%2Fwos%2Fwoscc%2Ffull-record%2FWOS:000181861500011","View Full Record in Web of Science")</f>
        <v>View Full Record in Web of Science</v>
      </c>
    </row>
    <row r="656" spans="1:72" x14ac:dyDescent="0.15">
      <c r="A656" t="s">
        <v>72</v>
      </c>
      <c r="B656" t="s">
        <v>9416</v>
      </c>
      <c r="C656" t="s">
        <v>74</v>
      </c>
      <c r="D656" t="s">
        <v>74</v>
      </c>
      <c r="E656" t="s">
        <v>74</v>
      </c>
      <c r="F656" t="s">
        <v>9416</v>
      </c>
      <c r="G656" t="s">
        <v>74</v>
      </c>
      <c r="H656" t="s">
        <v>74</v>
      </c>
      <c r="I656" t="s">
        <v>9417</v>
      </c>
      <c r="J656" t="s">
        <v>9418</v>
      </c>
      <c r="K656" t="s">
        <v>74</v>
      </c>
      <c r="L656" t="s">
        <v>74</v>
      </c>
      <c r="M656" t="s">
        <v>77</v>
      </c>
      <c r="N656" t="s">
        <v>556</v>
      </c>
      <c r="O656" t="s">
        <v>74</v>
      </c>
      <c r="P656" t="s">
        <v>74</v>
      </c>
      <c r="Q656" t="s">
        <v>74</v>
      </c>
      <c r="R656" t="s">
        <v>74</v>
      </c>
      <c r="S656" t="s">
        <v>74</v>
      </c>
      <c r="T656" t="s">
        <v>9419</v>
      </c>
      <c r="U656" t="s">
        <v>9420</v>
      </c>
      <c r="V656" t="s">
        <v>9421</v>
      </c>
      <c r="W656" t="s">
        <v>9422</v>
      </c>
      <c r="X656" t="s">
        <v>9423</v>
      </c>
      <c r="Y656" t="s">
        <v>9424</v>
      </c>
      <c r="Z656" t="s">
        <v>9425</v>
      </c>
      <c r="AA656" t="s">
        <v>9426</v>
      </c>
      <c r="AB656" t="s">
        <v>9427</v>
      </c>
      <c r="AC656" t="s">
        <v>74</v>
      </c>
      <c r="AD656" t="s">
        <v>74</v>
      </c>
      <c r="AE656" t="s">
        <v>74</v>
      </c>
      <c r="AF656" t="s">
        <v>74</v>
      </c>
      <c r="AG656">
        <v>118</v>
      </c>
      <c r="AH656">
        <v>216</v>
      </c>
      <c r="AI656">
        <v>254</v>
      </c>
      <c r="AJ656">
        <v>5</v>
      </c>
      <c r="AK656">
        <v>145</v>
      </c>
      <c r="AL656" t="s">
        <v>250</v>
      </c>
      <c r="AM656" t="s">
        <v>251</v>
      </c>
      <c r="AN656" t="s">
        <v>252</v>
      </c>
      <c r="AO656" t="s">
        <v>9428</v>
      </c>
      <c r="AP656" t="s">
        <v>74</v>
      </c>
      <c r="AQ656" t="s">
        <v>74</v>
      </c>
      <c r="AR656" t="s">
        <v>9429</v>
      </c>
      <c r="AS656" t="s">
        <v>9430</v>
      </c>
      <c r="AT656" t="s">
        <v>9181</v>
      </c>
      <c r="AU656">
        <v>2003</v>
      </c>
      <c r="AV656">
        <v>270</v>
      </c>
      <c r="AW656">
        <v>7</v>
      </c>
      <c r="AX656" t="s">
        <v>74</v>
      </c>
      <c r="AY656" t="s">
        <v>74</v>
      </c>
      <c r="AZ656" t="s">
        <v>74</v>
      </c>
      <c r="BA656" t="s">
        <v>74</v>
      </c>
      <c r="BB656">
        <v>1381</v>
      </c>
      <c r="BC656">
        <v>1392</v>
      </c>
      <c r="BD656" t="s">
        <v>74</v>
      </c>
      <c r="BE656" t="s">
        <v>9431</v>
      </c>
      <c r="BF656" t="str">
        <f>HYPERLINK("http://dx.doi.org/10.1046/j.1432-1033.2003.03488.x","http://dx.doi.org/10.1046/j.1432-1033.2003.03488.x")</f>
        <v>http://dx.doi.org/10.1046/j.1432-1033.2003.03488.x</v>
      </c>
      <c r="BG656" t="s">
        <v>74</v>
      </c>
      <c r="BH656" t="s">
        <v>74</v>
      </c>
      <c r="BI656">
        <v>12</v>
      </c>
      <c r="BJ656" t="s">
        <v>2709</v>
      </c>
      <c r="BK656" t="s">
        <v>94</v>
      </c>
      <c r="BL656" t="s">
        <v>2709</v>
      </c>
      <c r="BM656" t="s">
        <v>9432</v>
      </c>
      <c r="BN656">
        <v>12653993</v>
      </c>
      <c r="BO656" t="s">
        <v>96</v>
      </c>
      <c r="BP656" t="s">
        <v>74</v>
      </c>
      <c r="BQ656" t="s">
        <v>74</v>
      </c>
      <c r="BR656" t="s">
        <v>97</v>
      </c>
      <c r="BS656" t="s">
        <v>9433</v>
      </c>
      <c r="BT656" t="str">
        <f>HYPERLINK("https%3A%2F%2Fwww.webofscience.com%2Fwos%2Fwoscc%2Ffull-record%2FWOS:000181738200002","View Full Record in Web of Science")</f>
        <v>View Full Record in Web of Science</v>
      </c>
    </row>
    <row r="657" spans="1:72" x14ac:dyDescent="0.15">
      <c r="A657" t="s">
        <v>72</v>
      </c>
      <c r="B657" t="s">
        <v>9434</v>
      </c>
      <c r="C657" t="s">
        <v>74</v>
      </c>
      <c r="D657" t="s">
        <v>74</v>
      </c>
      <c r="E657" t="s">
        <v>74</v>
      </c>
      <c r="F657" t="s">
        <v>9434</v>
      </c>
      <c r="G657" t="s">
        <v>74</v>
      </c>
      <c r="H657" t="s">
        <v>74</v>
      </c>
      <c r="I657" t="s">
        <v>9435</v>
      </c>
      <c r="J657" t="s">
        <v>3605</v>
      </c>
      <c r="K657" t="s">
        <v>74</v>
      </c>
      <c r="L657" t="s">
        <v>74</v>
      </c>
      <c r="M657" t="s">
        <v>77</v>
      </c>
      <c r="N657" t="s">
        <v>78</v>
      </c>
      <c r="O657" t="s">
        <v>74</v>
      </c>
      <c r="P657" t="s">
        <v>74</v>
      </c>
      <c r="Q657" t="s">
        <v>74</v>
      </c>
      <c r="R657" t="s">
        <v>74</v>
      </c>
      <c r="S657" t="s">
        <v>74</v>
      </c>
      <c r="T657" t="s">
        <v>9436</v>
      </c>
      <c r="U657" t="s">
        <v>9437</v>
      </c>
      <c r="V657" t="s">
        <v>9438</v>
      </c>
      <c r="W657" t="s">
        <v>9439</v>
      </c>
      <c r="X657" t="s">
        <v>9440</v>
      </c>
      <c r="Y657" t="s">
        <v>8537</v>
      </c>
      <c r="Z657" t="s">
        <v>9441</v>
      </c>
      <c r="AA657" t="s">
        <v>9442</v>
      </c>
      <c r="AB657" t="s">
        <v>9443</v>
      </c>
      <c r="AC657" t="s">
        <v>74</v>
      </c>
      <c r="AD657" t="s">
        <v>74</v>
      </c>
      <c r="AE657" t="s">
        <v>74</v>
      </c>
      <c r="AF657" t="s">
        <v>74</v>
      </c>
      <c r="AG657">
        <v>30</v>
      </c>
      <c r="AH657">
        <v>21</v>
      </c>
      <c r="AI657">
        <v>22</v>
      </c>
      <c r="AJ657">
        <v>0</v>
      </c>
      <c r="AK657">
        <v>10</v>
      </c>
      <c r="AL657" t="s">
        <v>188</v>
      </c>
      <c r="AM657" t="s">
        <v>170</v>
      </c>
      <c r="AN657" t="s">
        <v>189</v>
      </c>
      <c r="AO657" t="s">
        <v>3613</v>
      </c>
      <c r="AP657" t="s">
        <v>6525</v>
      </c>
      <c r="AQ657" t="s">
        <v>74</v>
      </c>
      <c r="AR657" t="s">
        <v>3614</v>
      </c>
      <c r="AS657" t="s">
        <v>3615</v>
      </c>
      <c r="AT657" t="s">
        <v>9181</v>
      </c>
      <c r="AU657">
        <v>2003</v>
      </c>
      <c r="AV657">
        <v>60</v>
      </c>
      <c r="AW657">
        <v>2</v>
      </c>
      <c r="AX657" t="s">
        <v>74</v>
      </c>
      <c r="AY657" t="s">
        <v>74</v>
      </c>
      <c r="AZ657" t="s">
        <v>74</v>
      </c>
      <c r="BA657" t="s">
        <v>74</v>
      </c>
      <c r="BB657">
        <v>290</v>
      </c>
      <c r="BC657">
        <v>296</v>
      </c>
      <c r="BD657" t="s">
        <v>74</v>
      </c>
      <c r="BE657" t="s">
        <v>9444</v>
      </c>
      <c r="BF657" t="str">
        <f>HYPERLINK("http://dx.doi.org/10.1016/S1054-3139(03)00007-9","http://dx.doi.org/10.1016/S1054-3139(03)00007-9")</f>
        <v>http://dx.doi.org/10.1016/S1054-3139(03)00007-9</v>
      </c>
      <c r="BG657" t="s">
        <v>74</v>
      </c>
      <c r="BH657" t="s">
        <v>74</v>
      </c>
      <c r="BI657">
        <v>7</v>
      </c>
      <c r="BJ657" t="s">
        <v>3617</v>
      </c>
      <c r="BK657" t="s">
        <v>94</v>
      </c>
      <c r="BL657" t="s">
        <v>3617</v>
      </c>
      <c r="BM657" t="s">
        <v>9445</v>
      </c>
      <c r="BN657" t="s">
        <v>74</v>
      </c>
      <c r="BO657" t="s">
        <v>96</v>
      </c>
      <c r="BP657" t="s">
        <v>74</v>
      </c>
      <c r="BQ657" t="s">
        <v>74</v>
      </c>
      <c r="BR657" t="s">
        <v>97</v>
      </c>
      <c r="BS657" t="s">
        <v>9446</v>
      </c>
      <c r="BT657" t="str">
        <f>HYPERLINK("https%3A%2F%2Fwww.webofscience.com%2Fwos%2Fwoscc%2Ffull-record%2FWOS:000220347100010","View Full Record in Web of Science")</f>
        <v>View Full Record in Web of Science</v>
      </c>
    </row>
    <row r="658" spans="1:72" x14ac:dyDescent="0.15">
      <c r="A658" t="s">
        <v>72</v>
      </c>
      <c r="B658" t="s">
        <v>6540</v>
      </c>
      <c r="C658" t="s">
        <v>74</v>
      </c>
      <c r="D658" t="s">
        <v>74</v>
      </c>
      <c r="E658" t="s">
        <v>74</v>
      </c>
      <c r="F658" t="s">
        <v>6540</v>
      </c>
      <c r="G658" t="s">
        <v>74</v>
      </c>
      <c r="H658" t="s">
        <v>74</v>
      </c>
      <c r="I658" t="s">
        <v>9447</v>
      </c>
      <c r="J658" t="s">
        <v>3605</v>
      </c>
      <c r="K658" t="s">
        <v>74</v>
      </c>
      <c r="L658" t="s">
        <v>74</v>
      </c>
      <c r="M658" t="s">
        <v>77</v>
      </c>
      <c r="N658" t="s">
        <v>78</v>
      </c>
      <c r="O658" t="s">
        <v>74</v>
      </c>
      <c r="P658" t="s">
        <v>74</v>
      </c>
      <c r="Q658" t="s">
        <v>74</v>
      </c>
      <c r="R658" t="s">
        <v>74</v>
      </c>
      <c r="S658" t="s">
        <v>74</v>
      </c>
      <c r="T658" t="s">
        <v>9448</v>
      </c>
      <c r="U658" t="s">
        <v>9449</v>
      </c>
      <c r="V658" t="s">
        <v>9450</v>
      </c>
      <c r="W658" t="s">
        <v>6545</v>
      </c>
      <c r="X658" t="s">
        <v>4646</v>
      </c>
      <c r="Y658" t="s">
        <v>6546</v>
      </c>
      <c r="Z658" t="s">
        <v>9451</v>
      </c>
      <c r="AA658" t="s">
        <v>4648</v>
      </c>
      <c r="AB658" t="s">
        <v>4649</v>
      </c>
      <c r="AC658" t="s">
        <v>74</v>
      </c>
      <c r="AD658" t="s">
        <v>74</v>
      </c>
      <c r="AE658" t="s">
        <v>74</v>
      </c>
      <c r="AF658" t="s">
        <v>74</v>
      </c>
      <c r="AG658">
        <v>15</v>
      </c>
      <c r="AH658">
        <v>47</v>
      </c>
      <c r="AI658">
        <v>53</v>
      </c>
      <c r="AJ658">
        <v>0</v>
      </c>
      <c r="AK658">
        <v>4</v>
      </c>
      <c r="AL658" t="s">
        <v>3611</v>
      </c>
      <c r="AM658" t="s">
        <v>964</v>
      </c>
      <c r="AN658" t="s">
        <v>3612</v>
      </c>
      <c r="AO658" t="s">
        <v>3613</v>
      </c>
      <c r="AP658" t="s">
        <v>74</v>
      </c>
      <c r="AQ658" t="s">
        <v>74</v>
      </c>
      <c r="AR658" t="s">
        <v>3614</v>
      </c>
      <c r="AS658" t="s">
        <v>3615</v>
      </c>
      <c r="AT658" t="s">
        <v>9181</v>
      </c>
      <c r="AU658">
        <v>2003</v>
      </c>
      <c r="AV658">
        <v>60</v>
      </c>
      <c r="AW658">
        <v>2</v>
      </c>
      <c r="AX658" t="s">
        <v>74</v>
      </c>
      <c r="AY658" t="s">
        <v>74</v>
      </c>
      <c r="AZ658" t="s">
        <v>74</v>
      </c>
      <c r="BA658" t="s">
        <v>74</v>
      </c>
      <c r="BB658">
        <v>429</v>
      </c>
      <c r="BC658">
        <v>434</v>
      </c>
      <c r="BD658" t="s">
        <v>74</v>
      </c>
      <c r="BE658" t="s">
        <v>9452</v>
      </c>
      <c r="BF658" t="str">
        <f>HYPERLINK("http://dx.doi.org/10.1016/S1054-3139(03)00002-X","http://dx.doi.org/10.1016/S1054-3139(03)00002-X")</f>
        <v>http://dx.doi.org/10.1016/S1054-3139(03)00002-X</v>
      </c>
      <c r="BG658" t="s">
        <v>74</v>
      </c>
      <c r="BH658" t="s">
        <v>74</v>
      </c>
      <c r="BI658">
        <v>6</v>
      </c>
      <c r="BJ658" t="s">
        <v>3617</v>
      </c>
      <c r="BK658" t="s">
        <v>94</v>
      </c>
      <c r="BL658" t="s">
        <v>3617</v>
      </c>
      <c r="BM658" t="s">
        <v>9445</v>
      </c>
      <c r="BN658" t="s">
        <v>74</v>
      </c>
      <c r="BO658" t="s">
        <v>96</v>
      </c>
      <c r="BP658" t="s">
        <v>74</v>
      </c>
      <c r="BQ658" t="s">
        <v>74</v>
      </c>
      <c r="BR658" t="s">
        <v>97</v>
      </c>
      <c r="BS658" t="s">
        <v>9453</v>
      </c>
      <c r="BT658" t="str">
        <f>HYPERLINK("https%3A%2F%2Fwww.webofscience.com%2Fwos%2Fwoscc%2Ffull-record%2FWOS:000220347100023","View Full Record in Web of Science")</f>
        <v>View Full Record in Web of Science</v>
      </c>
    </row>
    <row r="659" spans="1:72" x14ac:dyDescent="0.15">
      <c r="A659" t="s">
        <v>72</v>
      </c>
      <c r="B659" t="s">
        <v>9454</v>
      </c>
      <c r="C659" t="s">
        <v>74</v>
      </c>
      <c r="D659" t="s">
        <v>74</v>
      </c>
      <c r="E659" t="s">
        <v>74</v>
      </c>
      <c r="F659" t="s">
        <v>9454</v>
      </c>
      <c r="G659" t="s">
        <v>74</v>
      </c>
      <c r="H659" t="s">
        <v>74</v>
      </c>
      <c r="I659" t="s">
        <v>9455</v>
      </c>
      <c r="J659" t="s">
        <v>9456</v>
      </c>
      <c r="K659" t="s">
        <v>74</v>
      </c>
      <c r="L659" t="s">
        <v>74</v>
      </c>
      <c r="M659" t="s">
        <v>77</v>
      </c>
      <c r="N659" t="s">
        <v>556</v>
      </c>
      <c r="O659" t="s">
        <v>74</v>
      </c>
      <c r="P659" t="s">
        <v>74</v>
      </c>
      <c r="Q659" t="s">
        <v>74</v>
      </c>
      <c r="R659" t="s">
        <v>74</v>
      </c>
      <c r="S659" t="s">
        <v>74</v>
      </c>
      <c r="T659" t="s">
        <v>74</v>
      </c>
      <c r="U659" t="s">
        <v>9457</v>
      </c>
      <c r="V659" t="s">
        <v>9458</v>
      </c>
      <c r="W659" t="s">
        <v>9459</v>
      </c>
      <c r="X659" t="s">
        <v>9460</v>
      </c>
      <c r="Y659" t="s">
        <v>9461</v>
      </c>
      <c r="Z659" t="s">
        <v>74</v>
      </c>
      <c r="AA659" t="s">
        <v>74</v>
      </c>
      <c r="AB659" t="s">
        <v>74</v>
      </c>
      <c r="AC659" t="s">
        <v>74</v>
      </c>
      <c r="AD659" t="s">
        <v>74</v>
      </c>
      <c r="AE659" t="s">
        <v>74</v>
      </c>
      <c r="AF659" t="s">
        <v>74</v>
      </c>
      <c r="AG659">
        <v>97</v>
      </c>
      <c r="AH659">
        <v>8</v>
      </c>
      <c r="AI659">
        <v>10</v>
      </c>
      <c r="AJ659">
        <v>0</v>
      </c>
      <c r="AK659">
        <v>27</v>
      </c>
      <c r="AL659" t="s">
        <v>1651</v>
      </c>
      <c r="AM659" t="s">
        <v>1652</v>
      </c>
      <c r="AN659" t="s">
        <v>2361</v>
      </c>
      <c r="AO659" t="s">
        <v>9462</v>
      </c>
      <c r="AP659" t="s">
        <v>9463</v>
      </c>
      <c r="AQ659" t="s">
        <v>74</v>
      </c>
      <c r="AR659" t="s">
        <v>9464</v>
      </c>
      <c r="AS659" t="s">
        <v>9465</v>
      </c>
      <c r="AT659" t="s">
        <v>9466</v>
      </c>
      <c r="AU659">
        <v>2003</v>
      </c>
      <c r="AV659">
        <v>22</v>
      </c>
      <c r="AW659">
        <v>2</v>
      </c>
      <c r="AX659" t="s">
        <v>74</v>
      </c>
      <c r="AY659" t="s">
        <v>74</v>
      </c>
      <c r="AZ659" t="s">
        <v>74</v>
      </c>
      <c r="BA659" t="s">
        <v>74</v>
      </c>
      <c r="BB659">
        <v>341</v>
      </c>
      <c r="BC659">
        <v>376</v>
      </c>
      <c r="BD659" t="s">
        <v>74</v>
      </c>
      <c r="BE659" t="s">
        <v>9467</v>
      </c>
      <c r="BF659" t="str">
        <f>HYPERLINK("http://dx.doi.org/10.1080/0144235031000087282","http://dx.doi.org/10.1080/0144235031000087282")</f>
        <v>http://dx.doi.org/10.1080/0144235031000087282</v>
      </c>
      <c r="BG659" t="s">
        <v>74</v>
      </c>
      <c r="BH659" t="s">
        <v>74</v>
      </c>
      <c r="BI659">
        <v>36</v>
      </c>
      <c r="BJ659" t="s">
        <v>310</v>
      </c>
      <c r="BK659" t="s">
        <v>94</v>
      </c>
      <c r="BL659" t="s">
        <v>311</v>
      </c>
      <c r="BM659" t="s">
        <v>9468</v>
      </c>
      <c r="BN659" t="s">
        <v>74</v>
      </c>
      <c r="BO659" t="s">
        <v>74</v>
      </c>
      <c r="BP659" t="s">
        <v>74</v>
      </c>
      <c r="BQ659" t="s">
        <v>74</v>
      </c>
      <c r="BR659" t="s">
        <v>97</v>
      </c>
      <c r="BS659" t="s">
        <v>9469</v>
      </c>
      <c r="BT659" t="str">
        <f>HYPERLINK("https%3A%2F%2Fwww.webofscience.com%2Fwos%2Fwoscc%2Ffull-record%2FWOS:000182846700004","View Full Record in Web of Science")</f>
        <v>View Full Record in Web of Science</v>
      </c>
    </row>
    <row r="660" spans="1:72" x14ac:dyDescent="0.15">
      <c r="A660" t="s">
        <v>72</v>
      </c>
      <c r="B660" t="s">
        <v>9470</v>
      </c>
      <c r="C660" t="s">
        <v>74</v>
      </c>
      <c r="D660" t="s">
        <v>74</v>
      </c>
      <c r="E660" t="s">
        <v>74</v>
      </c>
      <c r="F660" t="s">
        <v>9470</v>
      </c>
      <c r="G660" t="s">
        <v>74</v>
      </c>
      <c r="H660" t="s">
        <v>74</v>
      </c>
      <c r="I660" t="s">
        <v>9471</v>
      </c>
      <c r="J660" t="s">
        <v>8312</v>
      </c>
      <c r="K660" t="s">
        <v>74</v>
      </c>
      <c r="L660" t="s">
        <v>74</v>
      </c>
      <c r="M660" t="s">
        <v>77</v>
      </c>
      <c r="N660" t="s">
        <v>78</v>
      </c>
      <c r="O660" t="s">
        <v>74</v>
      </c>
      <c r="P660" t="s">
        <v>74</v>
      </c>
      <c r="Q660" t="s">
        <v>74</v>
      </c>
      <c r="R660" t="s">
        <v>74</v>
      </c>
      <c r="S660" t="s">
        <v>74</v>
      </c>
      <c r="T660" t="s">
        <v>9472</v>
      </c>
      <c r="U660" t="s">
        <v>9473</v>
      </c>
      <c r="V660" t="s">
        <v>9474</v>
      </c>
      <c r="W660" t="s">
        <v>9475</v>
      </c>
      <c r="X660" t="s">
        <v>3955</v>
      </c>
      <c r="Y660" t="s">
        <v>9476</v>
      </c>
      <c r="Z660" t="s">
        <v>74</v>
      </c>
      <c r="AA660" t="s">
        <v>74</v>
      </c>
      <c r="AB660" t="s">
        <v>74</v>
      </c>
      <c r="AC660" t="s">
        <v>74</v>
      </c>
      <c r="AD660" t="s">
        <v>74</v>
      </c>
      <c r="AE660" t="s">
        <v>74</v>
      </c>
      <c r="AF660" t="s">
        <v>74</v>
      </c>
      <c r="AG660">
        <v>33</v>
      </c>
      <c r="AH660">
        <v>36</v>
      </c>
      <c r="AI660">
        <v>40</v>
      </c>
      <c r="AJ660">
        <v>1</v>
      </c>
      <c r="AK660">
        <v>13</v>
      </c>
      <c r="AL660" t="s">
        <v>169</v>
      </c>
      <c r="AM660" t="s">
        <v>170</v>
      </c>
      <c r="AN660" t="s">
        <v>171</v>
      </c>
      <c r="AO660" t="s">
        <v>8319</v>
      </c>
      <c r="AP660" t="s">
        <v>74</v>
      </c>
      <c r="AQ660" t="s">
        <v>74</v>
      </c>
      <c r="AR660" t="s">
        <v>8320</v>
      </c>
      <c r="AS660" t="s">
        <v>8321</v>
      </c>
      <c r="AT660" t="s">
        <v>9181</v>
      </c>
      <c r="AU660">
        <v>2003</v>
      </c>
      <c r="AV660">
        <v>65</v>
      </c>
      <c r="AW660">
        <v>6</v>
      </c>
      <c r="AX660" t="s">
        <v>74</v>
      </c>
      <c r="AY660" t="s">
        <v>74</v>
      </c>
      <c r="AZ660" t="s">
        <v>74</v>
      </c>
      <c r="BA660" t="s">
        <v>74</v>
      </c>
      <c r="BB660">
        <v>765</v>
      </c>
      <c r="BC660">
        <v>777</v>
      </c>
      <c r="BD660" t="s">
        <v>74</v>
      </c>
      <c r="BE660" t="s">
        <v>9477</v>
      </c>
      <c r="BF660" t="str">
        <f>HYPERLINK("http://dx.doi.org/10.1016/S1364-6826(03)00081-6","http://dx.doi.org/10.1016/S1364-6826(03)00081-6")</f>
        <v>http://dx.doi.org/10.1016/S1364-6826(03)00081-6</v>
      </c>
      <c r="BG660" t="s">
        <v>74</v>
      </c>
      <c r="BH660" t="s">
        <v>74</v>
      </c>
      <c r="BI660">
        <v>13</v>
      </c>
      <c r="BJ660" t="s">
        <v>8323</v>
      </c>
      <c r="BK660" t="s">
        <v>94</v>
      </c>
      <c r="BL660" t="s">
        <v>8323</v>
      </c>
      <c r="BM660" t="s">
        <v>9478</v>
      </c>
      <c r="BN660" t="s">
        <v>74</v>
      </c>
      <c r="BO660" t="s">
        <v>74</v>
      </c>
      <c r="BP660" t="s">
        <v>74</v>
      </c>
      <c r="BQ660" t="s">
        <v>74</v>
      </c>
      <c r="BR660" t="s">
        <v>97</v>
      </c>
      <c r="BS660" t="s">
        <v>9479</v>
      </c>
      <c r="BT660" t="str">
        <f>HYPERLINK("https%3A%2F%2Fwww.webofscience.com%2Fwos%2Fwoscc%2Ffull-record%2FWOS:000183358700012","View Full Record in Web of Science")</f>
        <v>View Full Record in Web of Science</v>
      </c>
    </row>
    <row r="661" spans="1:72" x14ac:dyDescent="0.15">
      <c r="A661" t="s">
        <v>72</v>
      </c>
      <c r="B661" t="s">
        <v>9480</v>
      </c>
      <c r="C661" t="s">
        <v>74</v>
      </c>
      <c r="D661" t="s">
        <v>74</v>
      </c>
      <c r="E661" t="s">
        <v>74</v>
      </c>
      <c r="F661" t="s">
        <v>9480</v>
      </c>
      <c r="G661" t="s">
        <v>74</v>
      </c>
      <c r="H661" t="s">
        <v>74</v>
      </c>
      <c r="I661" t="s">
        <v>9481</v>
      </c>
      <c r="J661" t="s">
        <v>2005</v>
      </c>
      <c r="K661" t="s">
        <v>74</v>
      </c>
      <c r="L661" t="s">
        <v>74</v>
      </c>
      <c r="M661" t="s">
        <v>77</v>
      </c>
      <c r="N661" t="s">
        <v>78</v>
      </c>
      <c r="O661" t="s">
        <v>74</v>
      </c>
      <c r="P661" t="s">
        <v>74</v>
      </c>
      <c r="Q661" t="s">
        <v>74</v>
      </c>
      <c r="R661" t="s">
        <v>74</v>
      </c>
      <c r="S661" t="s">
        <v>74</v>
      </c>
      <c r="T661" t="s">
        <v>74</v>
      </c>
      <c r="U661" t="s">
        <v>9482</v>
      </c>
      <c r="V661" t="s">
        <v>9483</v>
      </c>
      <c r="W661" t="s">
        <v>9484</v>
      </c>
      <c r="X661" t="s">
        <v>9485</v>
      </c>
      <c r="Y661" t="s">
        <v>9486</v>
      </c>
      <c r="Z661" t="s">
        <v>9487</v>
      </c>
      <c r="AA661" t="s">
        <v>74</v>
      </c>
      <c r="AB661" t="s">
        <v>74</v>
      </c>
      <c r="AC661" t="s">
        <v>74</v>
      </c>
      <c r="AD661" t="s">
        <v>74</v>
      </c>
      <c r="AE661" t="s">
        <v>74</v>
      </c>
      <c r="AF661" t="s">
        <v>74</v>
      </c>
      <c r="AG661">
        <v>61</v>
      </c>
      <c r="AH661">
        <v>45</v>
      </c>
      <c r="AI661">
        <v>51</v>
      </c>
      <c r="AJ661">
        <v>0</v>
      </c>
      <c r="AK661">
        <v>13</v>
      </c>
      <c r="AL661" t="s">
        <v>1263</v>
      </c>
      <c r="AM661" t="s">
        <v>540</v>
      </c>
      <c r="AN661" t="s">
        <v>1264</v>
      </c>
      <c r="AO661" t="s">
        <v>2013</v>
      </c>
      <c r="AP661" t="s">
        <v>2014</v>
      </c>
      <c r="AQ661" t="s">
        <v>74</v>
      </c>
      <c r="AR661" t="s">
        <v>2015</v>
      </c>
      <c r="AS661" t="s">
        <v>2016</v>
      </c>
      <c r="AT661" t="s">
        <v>9181</v>
      </c>
      <c r="AU661">
        <v>2003</v>
      </c>
      <c r="AV661">
        <v>185</v>
      </c>
      <c r="AW661">
        <v>7</v>
      </c>
      <c r="AX661" t="s">
        <v>74</v>
      </c>
      <c r="AY661" t="s">
        <v>74</v>
      </c>
      <c r="AZ661" t="s">
        <v>74</v>
      </c>
      <c r="BA661" t="s">
        <v>74</v>
      </c>
      <c r="BB661">
        <v>2161</v>
      </c>
      <c r="BC661">
        <v>2168</v>
      </c>
      <c r="BD661" t="s">
        <v>74</v>
      </c>
      <c r="BE661" t="s">
        <v>9488</v>
      </c>
      <c r="BF661" t="str">
        <f>HYPERLINK("http://dx.doi.org/10.1128/JB.185.7.2161-2168.2003","http://dx.doi.org/10.1128/JB.185.7.2161-2168.2003")</f>
        <v>http://dx.doi.org/10.1128/JB.185.7.2161-2168.2003</v>
      </c>
      <c r="BG661" t="s">
        <v>74</v>
      </c>
      <c r="BH661" t="s">
        <v>74</v>
      </c>
      <c r="BI661">
        <v>8</v>
      </c>
      <c r="BJ661" t="s">
        <v>1912</v>
      </c>
      <c r="BK661" t="s">
        <v>94</v>
      </c>
      <c r="BL661" t="s">
        <v>1912</v>
      </c>
      <c r="BM661" t="s">
        <v>9489</v>
      </c>
      <c r="BN661">
        <v>12644485</v>
      </c>
      <c r="BO661" t="s">
        <v>154</v>
      </c>
      <c r="BP661" t="s">
        <v>74</v>
      </c>
      <c r="BQ661" t="s">
        <v>74</v>
      </c>
      <c r="BR661" t="s">
        <v>97</v>
      </c>
      <c r="BS661" t="s">
        <v>9490</v>
      </c>
      <c r="BT661" t="str">
        <f>HYPERLINK("https%3A%2F%2Fwww.webofscience.com%2Fwos%2Fwoscc%2Ffull-record%2FWOS:000181703700011","View Full Record in Web of Science")</f>
        <v>View Full Record in Web of Science</v>
      </c>
    </row>
    <row r="662" spans="1:72" x14ac:dyDescent="0.15">
      <c r="A662" t="s">
        <v>72</v>
      </c>
      <c r="B662" t="s">
        <v>9491</v>
      </c>
      <c r="C662" t="s">
        <v>74</v>
      </c>
      <c r="D662" t="s">
        <v>74</v>
      </c>
      <c r="E662" t="s">
        <v>74</v>
      </c>
      <c r="F662" t="s">
        <v>9491</v>
      </c>
      <c r="G662" t="s">
        <v>74</v>
      </c>
      <c r="H662" t="s">
        <v>74</v>
      </c>
      <c r="I662" t="s">
        <v>9492</v>
      </c>
      <c r="J662" t="s">
        <v>76</v>
      </c>
      <c r="K662" t="s">
        <v>74</v>
      </c>
      <c r="L662" t="s">
        <v>74</v>
      </c>
      <c r="M662" t="s">
        <v>77</v>
      </c>
      <c r="N662" t="s">
        <v>78</v>
      </c>
      <c r="O662" t="s">
        <v>74</v>
      </c>
      <c r="P662" t="s">
        <v>74</v>
      </c>
      <c r="Q662" t="s">
        <v>74</v>
      </c>
      <c r="R662" t="s">
        <v>74</v>
      </c>
      <c r="S662" t="s">
        <v>74</v>
      </c>
      <c r="T662" t="s">
        <v>74</v>
      </c>
      <c r="U662" t="s">
        <v>9493</v>
      </c>
      <c r="V662" t="s">
        <v>9494</v>
      </c>
      <c r="W662" t="s">
        <v>9495</v>
      </c>
      <c r="X662" t="s">
        <v>9496</v>
      </c>
      <c r="Y662" t="s">
        <v>9497</v>
      </c>
      <c r="Z662" t="s">
        <v>9498</v>
      </c>
      <c r="AA662" t="s">
        <v>74</v>
      </c>
      <c r="AB662" t="s">
        <v>74</v>
      </c>
      <c r="AC662" t="s">
        <v>74</v>
      </c>
      <c r="AD662" t="s">
        <v>74</v>
      </c>
      <c r="AE662" t="s">
        <v>74</v>
      </c>
      <c r="AF662" t="s">
        <v>74</v>
      </c>
      <c r="AG662">
        <v>29</v>
      </c>
      <c r="AH662">
        <v>114</v>
      </c>
      <c r="AI662">
        <v>126</v>
      </c>
      <c r="AJ662">
        <v>2</v>
      </c>
      <c r="AK662">
        <v>22</v>
      </c>
      <c r="AL662" t="s">
        <v>85</v>
      </c>
      <c r="AM662" t="s">
        <v>86</v>
      </c>
      <c r="AN662" t="s">
        <v>87</v>
      </c>
      <c r="AO662" t="s">
        <v>88</v>
      </c>
      <c r="AP662" t="s">
        <v>755</v>
      </c>
      <c r="AQ662" t="s">
        <v>74</v>
      </c>
      <c r="AR662" t="s">
        <v>89</v>
      </c>
      <c r="AS662" t="s">
        <v>90</v>
      </c>
      <c r="AT662" t="s">
        <v>9181</v>
      </c>
      <c r="AU662">
        <v>2003</v>
      </c>
      <c r="AV662">
        <v>16</v>
      </c>
      <c r="AW662">
        <v>7</v>
      </c>
      <c r="AX662" t="s">
        <v>74</v>
      </c>
      <c r="AY662" t="s">
        <v>74</v>
      </c>
      <c r="AZ662" t="s">
        <v>74</v>
      </c>
      <c r="BA662" t="s">
        <v>74</v>
      </c>
      <c r="BB662">
        <v>1047</v>
      </c>
      <c r="BC662">
        <v>1060</v>
      </c>
      <c r="BD662" t="s">
        <v>74</v>
      </c>
      <c r="BE662" t="s">
        <v>9499</v>
      </c>
      <c r="BF662" t="str">
        <f>HYPERLINK("http://dx.doi.org/10.1175/1520-0442(2003)016&lt;1047:VATOTS&gt;2.0.CO;2","http://dx.doi.org/10.1175/1520-0442(2003)016&lt;1047:VATOTS&gt;2.0.CO;2")</f>
        <v>http://dx.doi.org/10.1175/1520-0442(2003)016&lt;1047:VATOTS&gt;2.0.CO;2</v>
      </c>
      <c r="BG662" t="s">
        <v>74</v>
      </c>
      <c r="BH662" t="s">
        <v>74</v>
      </c>
      <c r="BI662">
        <v>14</v>
      </c>
      <c r="BJ662" t="s">
        <v>93</v>
      </c>
      <c r="BK662" t="s">
        <v>94</v>
      </c>
      <c r="BL662" t="s">
        <v>93</v>
      </c>
      <c r="BM662" t="s">
        <v>9500</v>
      </c>
      <c r="BN662" t="s">
        <v>74</v>
      </c>
      <c r="BO662" t="s">
        <v>759</v>
      </c>
      <c r="BP662" t="s">
        <v>74</v>
      </c>
      <c r="BQ662" t="s">
        <v>74</v>
      </c>
      <c r="BR662" t="s">
        <v>97</v>
      </c>
      <c r="BS662" t="s">
        <v>9501</v>
      </c>
      <c r="BT662" t="str">
        <f>HYPERLINK("https%3A%2F%2Fwww.webofscience.com%2Fwos%2Fwoscc%2Ffull-record%2FWOS:000181718100003","View Full Record in Web of Science")</f>
        <v>View Full Record in Web of Science</v>
      </c>
    </row>
    <row r="663" spans="1:72" x14ac:dyDescent="0.15">
      <c r="A663" t="s">
        <v>72</v>
      </c>
      <c r="B663" t="s">
        <v>9502</v>
      </c>
      <c r="C663" t="s">
        <v>74</v>
      </c>
      <c r="D663" t="s">
        <v>74</v>
      </c>
      <c r="E663" t="s">
        <v>74</v>
      </c>
      <c r="F663" t="s">
        <v>9502</v>
      </c>
      <c r="G663" t="s">
        <v>74</v>
      </c>
      <c r="H663" t="s">
        <v>74</v>
      </c>
      <c r="I663" t="s">
        <v>9503</v>
      </c>
      <c r="J663" t="s">
        <v>76</v>
      </c>
      <c r="K663" t="s">
        <v>74</v>
      </c>
      <c r="L663" t="s">
        <v>74</v>
      </c>
      <c r="M663" t="s">
        <v>77</v>
      </c>
      <c r="N663" t="s">
        <v>78</v>
      </c>
      <c r="O663" t="s">
        <v>74</v>
      </c>
      <c r="P663" t="s">
        <v>74</v>
      </c>
      <c r="Q663" t="s">
        <v>74</v>
      </c>
      <c r="R663" t="s">
        <v>74</v>
      </c>
      <c r="S663" t="s">
        <v>74</v>
      </c>
      <c r="T663" t="s">
        <v>74</v>
      </c>
      <c r="U663" t="s">
        <v>9504</v>
      </c>
      <c r="V663" t="s">
        <v>9505</v>
      </c>
      <c r="W663" t="s">
        <v>9506</v>
      </c>
      <c r="X663" t="s">
        <v>3926</v>
      </c>
      <c r="Y663" t="s">
        <v>9507</v>
      </c>
      <c r="Z663" t="s">
        <v>9508</v>
      </c>
      <c r="AA663" t="s">
        <v>9509</v>
      </c>
      <c r="AB663" t="s">
        <v>74</v>
      </c>
      <c r="AC663" t="s">
        <v>74</v>
      </c>
      <c r="AD663" t="s">
        <v>74</v>
      </c>
      <c r="AE663" t="s">
        <v>74</v>
      </c>
      <c r="AF663" t="s">
        <v>74</v>
      </c>
      <c r="AG663">
        <v>36</v>
      </c>
      <c r="AH663">
        <v>73</v>
      </c>
      <c r="AI663">
        <v>81</v>
      </c>
      <c r="AJ663">
        <v>2</v>
      </c>
      <c r="AK663">
        <v>8</v>
      </c>
      <c r="AL663" t="s">
        <v>85</v>
      </c>
      <c r="AM663" t="s">
        <v>86</v>
      </c>
      <c r="AN663" t="s">
        <v>87</v>
      </c>
      <c r="AO663" t="s">
        <v>88</v>
      </c>
      <c r="AP663" t="s">
        <v>74</v>
      </c>
      <c r="AQ663" t="s">
        <v>74</v>
      </c>
      <c r="AR663" t="s">
        <v>89</v>
      </c>
      <c r="AS663" t="s">
        <v>90</v>
      </c>
      <c r="AT663" t="s">
        <v>9181</v>
      </c>
      <c r="AU663">
        <v>2003</v>
      </c>
      <c r="AV663">
        <v>16</v>
      </c>
      <c r="AW663">
        <v>7</v>
      </c>
      <c r="AX663" t="s">
        <v>74</v>
      </c>
      <c r="AY663" t="s">
        <v>74</v>
      </c>
      <c r="AZ663" t="s">
        <v>74</v>
      </c>
      <c r="BA663" t="s">
        <v>74</v>
      </c>
      <c r="BB663">
        <v>1075</v>
      </c>
      <c r="BC663">
        <v>1083</v>
      </c>
      <c r="BD663" t="s">
        <v>74</v>
      </c>
      <c r="BE663" t="s">
        <v>9510</v>
      </c>
      <c r="BF663" t="str">
        <f>HYPERLINK("http://dx.doi.org/10.1175/1520-0442(2003)016&lt;1075:VOSHCA&gt;2.0.CO;2","http://dx.doi.org/10.1175/1520-0442(2003)016&lt;1075:VOSHCA&gt;2.0.CO;2")</f>
        <v>http://dx.doi.org/10.1175/1520-0442(2003)016&lt;1075:VOSHCA&gt;2.0.CO;2</v>
      </c>
      <c r="BG663" t="s">
        <v>74</v>
      </c>
      <c r="BH663" t="s">
        <v>74</v>
      </c>
      <c r="BI663">
        <v>9</v>
      </c>
      <c r="BJ663" t="s">
        <v>93</v>
      </c>
      <c r="BK663" t="s">
        <v>94</v>
      </c>
      <c r="BL663" t="s">
        <v>93</v>
      </c>
      <c r="BM663" t="s">
        <v>9500</v>
      </c>
      <c r="BN663" t="s">
        <v>74</v>
      </c>
      <c r="BO663" t="s">
        <v>759</v>
      </c>
      <c r="BP663" t="s">
        <v>74</v>
      </c>
      <c r="BQ663" t="s">
        <v>74</v>
      </c>
      <c r="BR663" t="s">
        <v>97</v>
      </c>
      <c r="BS663" t="s">
        <v>9511</v>
      </c>
      <c r="BT663" t="str">
        <f>HYPERLINK("https%3A%2F%2Fwww.webofscience.com%2Fwos%2Fwoscc%2Ffull-record%2FWOS:000181718100005","View Full Record in Web of Science")</f>
        <v>View Full Record in Web of Science</v>
      </c>
    </row>
    <row r="664" spans="1:72" x14ac:dyDescent="0.15">
      <c r="A664" t="s">
        <v>72</v>
      </c>
      <c r="B664" t="s">
        <v>9512</v>
      </c>
      <c r="C664" t="s">
        <v>74</v>
      </c>
      <c r="D664" t="s">
        <v>74</v>
      </c>
      <c r="E664" t="s">
        <v>74</v>
      </c>
      <c r="F664" t="s">
        <v>9512</v>
      </c>
      <c r="G664" t="s">
        <v>74</v>
      </c>
      <c r="H664" t="s">
        <v>74</v>
      </c>
      <c r="I664" t="s">
        <v>9513</v>
      </c>
      <c r="J664" t="s">
        <v>9514</v>
      </c>
      <c r="K664" t="s">
        <v>74</v>
      </c>
      <c r="L664" t="s">
        <v>74</v>
      </c>
      <c r="M664" t="s">
        <v>77</v>
      </c>
      <c r="N664" t="s">
        <v>78</v>
      </c>
      <c r="O664" t="s">
        <v>74</v>
      </c>
      <c r="P664" t="s">
        <v>74</v>
      </c>
      <c r="Q664" t="s">
        <v>74</v>
      </c>
      <c r="R664" t="s">
        <v>74</v>
      </c>
      <c r="S664" t="s">
        <v>74</v>
      </c>
      <c r="T664" t="s">
        <v>74</v>
      </c>
      <c r="U664" t="s">
        <v>9515</v>
      </c>
      <c r="V664" t="s">
        <v>9516</v>
      </c>
      <c r="W664" t="s">
        <v>9517</v>
      </c>
      <c r="X664" t="s">
        <v>9518</v>
      </c>
      <c r="Y664" t="s">
        <v>9519</v>
      </c>
      <c r="Z664" t="s">
        <v>74</v>
      </c>
      <c r="AA664" t="s">
        <v>9520</v>
      </c>
      <c r="AB664" t="s">
        <v>9521</v>
      </c>
      <c r="AC664" t="s">
        <v>74</v>
      </c>
      <c r="AD664" t="s">
        <v>74</v>
      </c>
      <c r="AE664" t="s">
        <v>74</v>
      </c>
      <c r="AF664" t="s">
        <v>74</v>
      </c>
      <c r="AG664">
        <v>36</v>
      </c>
      <c r="AH664">
        <v>69</v>
      </c>
      <c r="AI664">
        <v>84</v>
      </c>
      <c r="AJ664">
        <v>0</v>
      </c>
      <c r="AK664">
        <v>38</v>
      </c>
      <c r="AL664" t="s">
        <v>303</v>
      </c>
      <c r="AM664" t="s">
        <v>132</v>
      </c>
      <c r="AN664" t="s">
        <v>304</v>
      </c>
      <c r="AO664" t="s">
        <v>9522</v>
      </c>
      <c r="AP664" t="s">
        <v>74</v>
      </c>
      <c r="AQ664" t="s">
        <v>74</v>
      </c>
      <c r="AR664" t="s">
        <v>9523</v>
      </c>
      <c r="AS664" t="s">
        <v>9524</v>
      </c>
      <c r="AT664" t="s">
        <v>9181</v>
      </c>
      <c r="AU664">
        <v>2003</v>
      </c>
      <c r="AV664">
        <v>5</v>
      </c>
      <c r="AW664">
        <v>2</v>
      </c>
      <c r="AX664" t="s">
        <v>74</v>
      </c>
      <c r="AY664" t="s">
        <v>74</v>
      </c>
      <c r="AZ664" t="s">
        <v>74</v>
      </c>
      <c r="BA664" t="s">
        <v>74</v>
      </c>
      <c r="BB664">
        <v>281</v>
      </c>
      <c r="BC664">
        <v>286</v>
      </c>
      <c r="BD664" t="s">
        <v>74</v>
      </c>
      <c r="BE664" t="s">
        <v>9525</v>
      </c>
      <c r="BF664" t="str">
        <f>HYPERLINK("http://dx.doi.org/10.1039/b300555k","http://dx.doi.org/10.1039/b300555k")</f>
        <v>http://dx.doi.org/10.1039/b300555k</v>
      </c>
      <c r="BG664" t="s">
        <v>74</v>
      </c>
      <c r="BH664" t="s">
        <v>74</v>
      </c>
      <c r="BI664">
        <v>6</v>
      </c>
      <c r="BJ664" t="s">
        <v>9526</v>
      </c>
      <c r="BK664" t="s">
        <v>94</v>
      </c>
      <c r="BL664" t="s">
        <v>9527</v>
      </c>
      <c r="BM664" t="s">
        <v>9528</v>
      </c>
      <c r="BN664">
        <v>12729269</v>
      </c>
      <c r="BO664" t="s">
        <v>74</v>
      </c>
      <c r="BP664" t="s">
        <v>74</v>
      </c>
      <c r="BQ664" t="s">
        <v>74</v>
      </c>
      <c r="BR664" t="s">
        <v>97</v>
      </c>
      <c r="BS664" t="s">
        <v>9529</v>
      </c>
      <c r="BT664" t="str">
        <f>HYPERLINK("https%3A%2F%2Fwww.webofscience.com%2Fwos%2Fwoscc%2Ffull-record%2FWOS:000182392700024","View Full Record in Web of Science")</f>
        <v>View Full Record in Web of Science</v>
      </c>
    </row>
    <row r="665" spans="1:72" x14ac:dyDescent="0.15">
      <c r="A665" t="s">
        <v>72</v>
      </c>
      <c r="B665" t="s">
        <v>9530</v>
      </c>
      <c r="C665" t="s">
        <v>74</v>
      </c>
      <c r="D665" t="s">
        <v>74</v>
      </c>
      <c r="E665" t="s">
        <v>74</v>
      </c>
      <c r="F665" t="s">
        <v>9530</v>
      </c>
      <c r="G665" t="s">
        <v>74</v>
      </c>
      <c r="H665" t="s">
        <v>74</v>
      </c>
      <c r="I665" t="s">
        <v>9531</v>
      </c>
      <c r="J665" t="s">
        <v>9514</v>
      </c>
      <c r="K665" t="s">
        <v>74</v>
      </c>
      <c r="L665" t="s">
        <v>74</v>
      </c>
      <c r="M665" t="s">
        <v>77</v>
      </c>
      <c r="N665" t="s">
        <v>78</v>
      </c>
      <c r="O665" t="s">
        <v>74</v>
      </c>
      <c r="P665" t="s">
        <v>74</v>
      </c>
      <c r="Q665" t="s">
        <v>74</v>
      </c>
      <c r="R665" t="s">
        <v>74</v>
      </c>
      <c r="S665" t="s">
        <v>74</v>
      </c>
      <c r="T665" t="s">
        <v>74</v>
      </c>
      <c r="U665" t="s">
        <v>9532</v>
      </c>
      <c r="V665" t="s">
        <v>9533</v>
      </c>
      <c r="W665" t="s">
        <v>9534</v>
      </c>
      <c r="X665" t="s">
        <v>9535</v>
      </c>
      <c r="Y665" t="s">
        <v>9536</v>
      </c>
      <c r="Z665" t="s">
        <v>9537</v>
      </c>
      <c r="AA665" t="s">
        <v>9538</v>
      </c>
      <c r="AB665" t="s">
        <v>9539</v>
      </c>
      <c r="AC665" t="s">
        <v>74</v>
      </c>
      <c r="AD665" t="s">
        <v>74</v>
      </c>
      <c r="AE665" t="s">
        <v>74</v>
      </c>
      <c r="AF665" t="s">
        <v>74</v>
      </c>
      <c r="AG665">
        <v>49</v>
      </c>
      <c r="AH665">
        <v>55</v>
      </c>
      <c r="AI665">
        <v>68</v>
      </c>
      <c r="AJ665">
        <v>2</v>
      </c>
      <c r="AK665">
        <v>33</v>
      </c>
      <c r="AL665" t="s">
        <v>303</v>
      </c>
      <c r="AM665" t="s">
        <v>132</v>
      </c>
      <c r="AN665" t="s">
        <v>304</v>
      </c>
      <c r="AO665" t="s">
        <v>9522</v>
      </c>
      <c r="AP665" t="s">
        <v>9540</v>
      </c>
      <c r="AQ665" t="s">
        <v>74</v>
      </c>
      <c r="AR665" t="s">
        <v>9523</v>
      </c>
      <c r="AS665" t="s">
        <v>9524</v>
      </c>
      <c r="AT665" t="s">
        <v>9181</v>
      </c>
      <c r="AU665">
        <v>2003</v>
      </c>
      <c r="AV665">
        <v>5</v>
      </c>
      <c r="AW665">
        <v>2</v>
      </c>
      <c r="AX665" t="s">
        <v>74</v>
      </c>
      <c r="AY665" t="s">
        <v>74</v>
      </c>
      <c r="AZ665" t="s">
        <v>74</v>
      </c>
      <c r="BA665" t="s">
        <v>74</v>
      </c>
      <c r="BB665">
        <v>328</v>
      </c>
      <c r="BC665">
        <v>335</v>
      </c>
      <c r="BD665" t="s">
        <v>74</v>
      </c>
      <c r="BE665" t="s">
        <v>9541</v>
      </c>
      <c r="BF665" t="str">
        <f>HYPERLINK("http://dx.doi.org/10.1039/b210460a","http://dx.doi.org/10.1039/b210460a")</f>
        <v>http://dx.doi.org/10.1039/b210460a</v>
      </c>
      <c r="BG665" t="s">
        <v>74</v>
      </c>
      <c r="BH665" t="s">
        <v>74</v>
      </c>
      <c r="BI665">
        <v>8</v>
      </c>
      <c r="BJ665" t="s">
        <v>9526</v>
      </c>
      <c r="BK665" t="s">
        <v>94</v>
      </c>
      <c r="BL665" t="s">
        <v>9527</v>
      </c>
      <c r="BM665" t="s">
        <v>9528</v>
      </c>
      <c r="BN665">
        <v>12729277</v>
      </c>
      <c r="BO665" t="s">
        <v>74</v>
      </c>
      <c r="BP665" t="s">
        <v>74</v>
      </c>
      <c r="BQ665" t="s">
        <v>74</v>
      </c>
      <c r="BR665" t="s">
        <v>97</v>
      </c>
      <c r="BS665" t="s">
        <v>9542</v>
      </c>
      <c r="BT665" t="str">
        <f>HYPERLINK("https%3A%2F%2Fwww.webofscience.com%2Fwos%2Fwoscc%2Ffull-record%2FWOS:000182392700032","View Full Record in Web of Science")</f>
        <v>View Full Record in Web of Science</v>
      </c>
    </row>
    <row r="666" spans="1:72" x14ac:dyDescent="0.15">
      <c r="A666" t="s">
        <v>72</v>
      </c>
      <c r="B666" t="s">
        <v>9543</v>
      </c>
      <c r="C666" t="s">
        <v>74</v>
      </c>
      <c r="D666" t="s">
        <v>74</v>
      </c>
      <c r="E666" t="s">
        <v>74</v>
      </c>
      <c r="F666" t="s">
        <v>9543</v>
      </c>
      <c r="G666" t="s">
        <v>74</v>
      </c>
      <c r="H666" t="s">
        <v>74</v>
      </c>
      <c r="I666" t="s">
        <v>9544</v>
      </c>
      <c r="J666" t="s">
        <v>6740</v>
      </c>
      <c r="K666" t="s">
        <v>74</v>
      </c>
      <c r="L666" t="s">
        <v>74</v>
      </c>
      <c r="M666" t="s">
        <v>77</v>
      </c>
      <c r="N666" t="s">
        <v>78</v>
      </c>
      <c r="O666" t="s">
        <v>74</v>
      </c>
      <c r="P666" t="s">
        <v>74</v>
      </c>
      <c r="Q666" t="s">
        <v>74</v>
      </c>
      <c r="R666" t="s">
        <v>74</v>
      </c>
      <c r="S666" t="s">
        <v>74</v>
      </c>
      <c r="T666" t="s">
        <v>74</v>
      </c>
      <c r="U666" t="s">
        <v>9545</v>
      </c>
      <c r="V666" t="s">
        <v>9546</v>
      </c>
      <c r="W666" t="s">
        <v>9547</v>
      </c>
      <c r="X666" t="s">
        <v>9548</v>
      </c>
      <c r="Y666" t="s">
        <v>9549</v>
      </c>
      <c r="Z666" t="s">
        <v>9550</v>
      </c>
      <c r="AA666" t="s">
        <v>9551</v>
      </c>
      <c r="AB666" t="s">
        <v>9552</v>
      </c>
      <c r="AC666" t="s">
        <v>74</v>
      </c>
      <c r="AD666" t="s">
        <v>74</v>
      </c>
      <c r="AE666" t="s">
        <v>74</v>
      </c>
      <c r="AF666" t="s">
        <v>74</v>
      </c>
      <c r="AG666">
        <v>23</v>
      </c>
      <c r="AH666">
        <v>50</v>
      </c>
      <c r="AI666">
        <v>50</v>
      </c>
      <c r="AJ666">
        <v>2</v>
      </c>
      <c r="AK666">
        <v>19</v>
      </c>
      <c r="AL666" t="s">
        <v>4346</v>
      </c>
      <c r="AM666" t="s">
        <v>540</v>
      </c>
      <c r="AN666" t="s">
        <v>4347</v>
      </c>
      <c r="AO666" t="s">
        <v>6746</v>
      </c>
      <c r="AP666" t="s">
        <v>74</v>
      </c>
      <c r="AQ666" t="s">
        <v>74</v>
      </c>
      <c r="AR666" t="s">
        <v>6748</v>
      </c>
      <c r="AS666" t="s">
        <v>6749</v>
      </c>
      <c r="AT666" t="s">
        <v>9181</v>
      </c>
      <c r="AU666">
        <v>2003</v>
      </c>
      <c r="AV666">
        <v>66</v>
      </c>
      <c r="AW666">
        <v>4</v>
      </c>
      <c r="AX666" t="s">
        <v>74</v>
      </c>
      <c r="AY666" t="s">
        <v>74</v>
      </c>
      <c r="AZ666" t="s">
        <v>74</v>
      </c>
      <c r="BA666" t="s">
        <v>74</v>
      </c>
      <c r="BB666">
        <v>515</v>
      </c>
      <c r="BC666">
        <v>519</v>
      </c>
      <c r="BD666" t="s">
        <v>74</v>
      </c>
      <c r="BE666" t="s">
        <v>9553</v>
      </c>
      <c r="BF666" t="str">
        <f>HYPERLINK("http://dx.doi.org/10.1021/np0205046","http://dx.doi.org/10.1021/np0205046")</f>
        <v>http://dx.doi.org/10.1021/np0205046</v>
      </c>
      <c r="BG666" t="s">
        <v>74</v>
      </c>
      <c r="BH666" t="s">
        <v>74</v>
      </c>
      <c r="BI666">
        <v>5</v>
      </c>
      <c r="BJ666" t="s">
        <v>6751</v>
      </c>
      <c r="BK666" t="s">
        <v>3339</v>
      </c>
      <c r="BL666" t="s">
        <v>6752</v>
      </c>
      <c r="BM666" t="s">
        <v>9554</v>
      </c>
      <c r="BN666">
        <v>12713404</v>
      </c>
      <c r="BO666" t="s">
        <v>74</v>
      </c>
      <c r="BP666" t="s">
        <v>74</v>
      </c>
      <c r="BQ666" t="s">
        <v>74</v>
      </c>
      <c r="BR666" t="s">
        <v>97</v>
      </c>
      <c r="BS666" t="s">
        <v>9555</v>
      </c>
      <c r="BT666" t="str">
        <f>HYPERLINK("https%3A%2F%2Fwww.webofscience.com%2Fwos%2Fwoscc%2Ffull-record%2FWOS:000182562800012","View Full Record in Web of Science")</f>
        <v>View Full Record in Web of Science</v>
      </c>
    </row>
    <row r="667" spans="1:72" x14ac:dyDescent="0.15">
      <c r="A667" t="s">
        <v>72</v>
      </c>
      <c r="B667" t="s">
        <v>9556</v>
      </c>
      <c r="C667" t="s">
        <v>74</v>
      </c>
      <c r="D667" t="s">
        <v>74</v>
      </c>
      <c r="E667" t="s">
        <v>74</v>
      </c>
      <c r="F667" t="s">
        <v>9556</v>
      </c>
      <c r="G667" t="s">
        <v>74</v>
      </c>
      <c r="H667" t="s">
        <v>74</v>
      </c>
      <c r="I667" t="s">
        <v>9557</v>
      </c>
      <c r="J667" t="s">
        <v>3874</v>
      </c>
      <c r="K667" t="s">
        <v>74</v>
      </c>
      <c r="L667" t="s">
        <v>74</v>
      </c>
      <c r="M667" t="s">
        <v>77</v>
      </c>
      <c r="N667" t="s">
        <v>78</v>
      </c>
      <c r="O667" t="s">
        <v>74</v>
      </c>
      <c r="P667" t="s">
        <v>74</v>
      </c>
      <c r="Q667" t="s">
        <v>74</v>
      </c>
      <c r="R667" t="s">
        <v>74</v>
      </c>
      <c r="S667" t="s">
        <v>74</v>
      </c>
      <c r="T667" t="s">
        <v>74</v>
      </c>
      <c r="U667" t="s">
        <v>9558</v>
      </c>
      <c r="V667" t="s">
        <v>9559</v>
      </c>
      <c r="W667" t="s">
        <v>9560</v>
      </c>
      <c r="X667" t="s">
        <v>9561</v>
      </c>
      <c r="Y667" t="s">
        <v>9562</v>
      </c>
      <c r="Z667" t="s">
        <v>9563</v>
      </c>
      <c r="AA667" t="s">
        <v>74</v>
      </c>
      <c r="AB667" t="s">
        <v>9564</v>
      </c>
      <c r="AC667" t="s">
        <v>74</v>
      </c>
      <c r="AD667" t="s">
        <v>74</v>
      </c>
      <c r="AE667" t="s">
        <v>74</v>
      </c>
      <c r="AF667" t="s">
        <v>74</v>
      </c>
      <c r="AG667">
        <v>39</v>
      </c>
      <c r="AH667">
        <v>43</v>
      </c>
      <c r="AI667">
        <v>46</v>
      </c>
      <c r="AJ667">
        <v>0</v>
      </c>
      <c r="AK667">
        <v>10</v>
      </c>
      <c r="AL667" t="s">
        <v>85</v>
      </c>
      <c r="AM667" t="s">
        <v>86</v>
      </c>
      <c r="AN667" t="s">
        <v>87</v>
      </c>
      <c r="AO667" t="s">
        <v>3878</v>
      </c>
      <c r="AP667" t="s">
        <v>74</v>
      </c>
      <c r="AQ667" t="s">
        <v>74</v>
      </c>
      <c r="AR667" t="s">
        <v>3879</v>
      </c>
      <c r="AS667" t="s">
        <v>3880</v>
      </c>
      <c r="AT667" t="s">
        <v>9181</v>
      </c>
      <c r="AU667">
        <v>2003</v>
      </c>
      <c r="AV667">
        <v>33</v>
      </c>
      <c r="AW667">
        <v>4</v>
      </c>
      <c r="AX667" t="s">
        <v>74</v>
      </c>
      <c r="AY667" t="s">
        <v>74</v>
      </c>
      <c r="AZ667" t="s">
        <v>74</v>
      </c>
      <c r="BA667" t="s">
        <v>74</v>
      </c>
      <c r="BB667">
        <v>848</v>
      </c>
      <c r="BC667">
        <v>862</v>
      </c>
      <c r="BD667" t="s">
        <v>74</v>
      </c>
      <c r="BE667" t="s">
        <v>9565</v>
      </c>
      <c r="BF667" t="str">
        <f>HYPERLINK("http://dx.doi.org/10.1175/1520-0485(2003)33&lt;848:BMATBO&gt;2.0.CO;2","http://dx.doi.org/10.1175/1520-0485(2003)33&lt;848:BMATBO&gt;2.0.CO;2")</f>
        <v>http://dx.doi.org/10.1175/1520-0485(2003)33&lt;848:BMATBO&gt;2.0.CO;2</v>
      </c>
      <c r="BG667" t="s">
        <v>74</v>
      </c>
      <c r="BH667" t="s">
        <v>74</v>
      </c>
      <c r="BI667">
        <v>15</v>
      </c>
      <c r="BJ667" t="s">
        <v>678</v>
      </c>
      <c r="BK667" t="s">
        <v>94</v>
      </c>
      <c r="BL667" t="s">
        <v>678</v>
      </c>
      <c r="BM667" t="s">
        <v>9566</v>
      </c>
      <c r="BN667" t="s">
        <v>74</v>
      </c>
      <c r="BO667" t="s">
        <v>96</v>
      </c>
      <c r="BP667" t="s">
        <v>74</v>
      </c>
      <c r="BQ667" t="s">
        <v>74</v>
      </c>
      <c r="BR667" t="s">
        <v>97</v>
      </c>
      <c r="BS667" t="s">
        <v>9567</v>
      </c>
      <c r="BT667" t="str">
        <f>HYPERLINK("https%3A%2F%2Fwww.webofscience.com%2Fwos%2Fwoscc%2Ffull-record%2FWOS:000181851100012","View Full Record in Web of Science")</f>
        <v>View Full Record in Web of Science</v>
      </c>
    </row>
    <row r="668" spans="1:72" x14ac:dyDescent="0.15">
      <c r="A668" t="s">
        <v>72</v>
      </c>
      <c r="B668" t="s">
        <v>9568</v>
      </c>
      <c r="C668" t="s">
        <v>74</v>
      </c>
      <c r="D668" t="s">
        <v>74</v>
      </c>
      <c r="E668" t="s">
        <v>74</v>
      </c>
      <c r="F668" t="s">
        <v>9568</v>
      </c>
      <c r="G668" t="s">
        <v>74</v>
      </c>
      <c r="H668" t="s">
        <v>74</v>
      </c>
      <c r="I668" t="s">
        <v>9569</v>
      </c>
      <c r="J668" t="s">
        <v>3874</v>
      </c>
      <c r="K668" t="s">
        <v>74</v>
      </c>
      <c r="L668" t="s">
        <v>74</v>
      </c>
      <c r="M668" t="s">
        <v>77</v>
      </c>
      <c r="N668" t="s">
        <v>78</v>
      </c>
      <c r="O668" t="s">
        <v>74</v>
      </c>
      <c r="P668" t="s">
        <v>74</v>
      </c>
      <c r="Q668" t="s">
        <v>74</v>
      </c>
      <c r="R668" t="s">
        <v>74</v>
      </c>
      <c r="S668" t="s">
        <v>74</v>
      </c>
      <c r="T668" t="s">
        <v>74</v>
      </c>
      <c r="U668" t="s">
        <v>9570</v>
      </c>
      <c r="V668" t="s">
        <v>9571</v>
      </c>
      <c r="W668" t="s">
        <v>5686</v>
      </c>
      <c r="X668" t="s">
        <v>5687</v>
      </c>
      <c r="Y668" t="s">
        <v>9572</v>
      </c>
      <c r="Z668" t="s">
        <v>74</v>
      </c>
      <c r="AA668" t="s">
        <v>74</v>
      </c>
      <c r="AB668" t="s">
        <v>74</v>
      </c>
      <c r="AC668" t="s">
        <v>74</v>
      </c>
      <c r="AD668" t="s">
        <v>74</v>
      </c>
      <c r="AE668" t="s">
        <v>74</v>
      </c>
      <c r="AF668" t="s">
        <v>74</v>
      </c>
      <c r="AG668">
        <v>24</v>
      </c>
      <c r="AH668">
        <v>8</v>
      </c>
      <c r="AI668">
        <v>8</v>
      </c>
      <c r="AJ668">
        <v>0</v>
      </c>
      <c r="AK668">
        <v>0</v>
      </c>
      <c r="AL668" t="s">
        <v>85</v>
      </c>
      <c r="AM668" t="s">
        <v>86</v>
      </c>
      <c r="AN668" t="s">
        <v>87</v>
      </c>
      <c r="AO668" t="s">
        <v>3878</v>
      </c>
      <c r="AP668" t="s">
        <v>74</v>
      </c>
      <c r="AQ668" t="s">
        <v>74</v>
      </c>
      <c r="AR668" t="s">
        <v>3879</v>
      </c>
      <c r="AS668" t="s">
        <v>3880</v>
      </c>
      <c r="AT668" t="s">
        <v>9181</v>
      </c>
      <c r="AU668">
        <v>2003</v>
      </c>
      <c r="AV668">
        <v>33</v>
      </c>
      <c r="AW668">
        <v>4</v>
      </c>
      <c r="AX668" t="s">
        <v>74</v>
      </c>
      <c r="AY668" t="s">
        <v>74</v>
      </c>
      <c r="AZ668" t="s">
        <v>74</v>
      </c>
      <c r="BA668" t="s">
        <v>74</v>
      </c>
      <c r="BB668">
        <v>885</v>
      </c>
      <c r="BC668">
        <v>899</v>
      </c>
      <c r="BD668" t="s">
        <v>74</v>
      </c>
      <c r="BE668" t="s">
        <v>9573</v>
      </c>
      <c r="BF668" t="str">
        <f>HYPERLINK("http://dx.doi.org/10.1175/1520-0485(2003)33&lt;885:EOAWPL&gt;2.0.CO;2","http://dx.doi.org/10.1175/1520-0485(2003)33&lt;885:EOAWPL&gt;2.0.CO;2")</f>
        <v>http://dx.doi.org/10.1175/1520-0485(2003)33&lt;885:EOAWPL&gt;2.0.CO;2</v>
      </c>
      <c r="BG668" t="s">
        <v>74</v>
      </c>
      <c r="BH668" t="s">
        <v>74</v>
      </c>
      <c r="BI668">
        <v>15</v>
      </c>
      <c r="BJ668" t="s">
        <v>678</v>
      </c>
      <c r="BK668" t="s">
        <v>94</v>
      </c>
      <c r="BL668" t="s">
        <v>678</v>
      </c>
      <c r="BM668" t="s">
        <v>9566</v>
      </c>
      <c r="BN668" t="s">
        <v>74</v>
      </c>
      <c r="BO668" t="s">
        <v>96</v>
      </c>
      <c r="BP668" t="s">
        <v>74</v>
      </c>
      <c r="BQ668" t="s">
        <v>74</v>
      </c>
      <c r="BR668" t="s">
        <v>97</v>
      </c>
      <c r="BS668" t="s">
        <v>9574</v>
      </c>
      <c r="BT668" t="str">
        <f>HYPERLINK("https%3A%2F%2Fwww.webofscience.com%2Fwos%2Fwoscc%2Ffull-record%2FWOS:000181851100014","View Full Record in Web of Science")</f>
        <v>View Full Record in Web of Science</v>
      </c>
    </row>
    <row r="669" spans="1:72" x14ac:dyDescent="0.15">
      <c r="A669" t="s">
        <v>72</v>
      </c>
      <c r="B669" t="s">
        <v>9575</v>
      </c>
      <c r="C669" t="s">
        <v>74</v>
      </c>
      <c r="D669" t="s">
        <v>74</v>
      </c>
      <c r="E669" t="s">
        <v>74</v>
      </c>
      <c r="F669" t="s">
        <v>9575</v>
      </c>
      <c r="G669" t="s">
        <v>74</v>
      </c>
      <c r="H669" t="s">
        <v>74</v>
      </c>
      <c r="I669" t="s">
        <v>9576</v>
      </c>
      <c r="J669" t="s">
        <v>9577</v>
      </c>
      <c r="K669" t="s">
        <v>74</v>
      </c>
      <c r="L669" t="s">
        <v>74</v>
      </c>
      <c r="M669" t="s">
        <v>77</v>
      </c>
      <c r="N669" t="s">
        <v>159</v>
      </c>
      <c r="O669" t="s">
        <v>9578</v>
      </c>
      <c r="P669" t="s">
        <v>9579</v>
      </c>
      <c r="Q669" t="s">
        <v>9580</v>
      </c>
      <c r="R669" t="s">
        <v>74</v>
      </c>
      <c r="S669" t="s">
        <v>74</v>
      </c>
      <c r="T669" t="s">
        <v>9581</v>
      </c>
      <c r="U669" t="s">
        <v>9582</v>
      </c>
      <c r="V669" t="s">
        <v>9583</v>
      </c>
      <c r="W669" t="s">
        <v>9584</v>
      </c>
      <c r="X669" t="s">
        <v>9585</v>
      </c>
      <c r="Y669" t="s">
        <v>9586</v>
      </c>
      <c r="Z669" t="s">
        <v>74</v>
      </c>
      <c r="AA669" t="s">
        <v>9587</v>
      </c>
      <c r="AB669" t="s">
        <v>9588</v>
      </c>
      <c r="AC669" t="s">
        <v>74</v>
      </c>
      <c r="AD669" t="s">
        <v>74</v>
      </c>
      <c r="AE669" t="s">
        <v>74</v>
      </c>
      <c r="AF669" t="s">
        <v>74</v>
      </c>
      <c r="AG669">
        <v>14</v>
      </c>
      <c r="AH669">
        <v>12</v>
      </c>
      <c r="AI669">
        <v>13</v>
      </c>
      <c r="AJ669">
        <v>0</v>
      </c>
      <c r="AK669">
        <v>3</v>
      </c>
      <c r="AL669" t="s">
        <v>1325</v>
      </c>
      <c r="AM669" t="s">
        <v>1326</v>
      </c>
      <c r="AN669" t="s">
        <v>9589</v>
      </c>
      <c r="AO669" t="s">
        <v>9590</v>
      </c>
      <c r="AP669" t="s">
        <v>74</v>
      </c>
      <c r="AQ669" t="s">
        <v>74</v>
      </c>
      <c r="AR669" t="s">
        <v>9591</v>
      </c>
      <c r="AS669" t="s">
        <v>9592</v>
      </c>
      <c r="AT669" t="s">
        <v>9181</v>
      </c>
      <c r="AU669">
        <v>2003</v>
      </c>
      <c r="AV669">
        <v>26</v>
      </c>
      <c r="AW669">
        <v>5</v>
      </c>
      <c r="AX669" t="s">
        <v>74</v>
      </c>
      <c r="AY669" t="s">
        <v>74</v>
      </c>
      <c r="AZ669" t="s">
        <v>74</v>
      </c>
      <c r="BA669" t="s">
        <v>74</v>
      </c>
      <c r="BB669">
        <v>376</v>
      </c>
      <c r="BC669">
        <v>380</v>
      </c>
      <c r="BD669" t="s">
        <v>74</v>
      </c>
      <c r="BE669" t="s">
        <v>9593</v>
      </c>
      <c r="BF669" t="str">
        <f>HYPERLINK("http://dx.doi.org/10.1002/jssc.200390047","http://dx.doi.org/10.1002/jssc.200390047")</f>
        <v>http://dx.doi.org/10.1002/jssc.200390047</v>
      </c>
      <c r="BG669" t="s">
        <v>74</v>
      </c>
      <c r="BH669" t="s">
        <v>74</v>
      </c>
      <c r="BI669">
        <v>5</v>
      </c>
      <c r="BJ669" t="s">
        <v>9594</v>
      </c>
      <c r="BK669" t="s">
        <v>854</v>
      </c>
      <c r="BL669" t="s">
        <v>4142</v>
      </c>
      <c r="BM669" t="s">
        <v>9595</v>
      </c>
      <c r="BN669" t="s">
        <v>74</v>
      </c>
      <c r="BO669" t="s">
        <v>74</v>
      </c>
      <c r="BP669" t="s">
        <v>74</v>
      </c>
      <c r="BQ669" t="s">
        <v>74</v>
      </c>
      <c r="BR669" t="s">
        <v>97</v>
      </c>
      <c r="BS669" t="s">
        <v>9596</v>
      </c>
      <c r="BT669" t="str">
        <f>HYPERLINK("https%3A%2F%2Fwww.webofscience.com%2Fwos%2Fwoscc%2Ffull-record%2FWOS:000182609200005","View Full Record in Web of Science")</f>
        <v>View Full Record in Web of Science</v>
      </c>
    </row>
    <row r="670" spans="1:72" x14ac:dyDescent="0.15">
      <c r="A670" t="s">
        <v>72</v>
      </c>
      <c r="B670" t="s">
        <v>9597</v>
      </c>
      <c r="C670" t="s">
        <v>74</v>
      </c>
      <c r="D670" t="s">
        <v>74</v>
      </c>
      <c r="E670" t="s">
        <v>74</v>
      </c>
      <c r="F670" t="s">
        <v>9597</v>
      </c>
      <c r="G670" t="s">
        <v>74</v>
      </c>
      <c r="H670" t="s">
        <v>74</v>
      </c>
      <c r="I670" t="s">
        <v>9598</v>
      </c>
      <c r="J670" t="s">
        <v>221</v>
      </c>
      <c r="K670" t="s">
        <v>74</v>
      </c>
      <c r="L670" t="s">
        <v>74</v>
      </c>
      <c r="M670" t="s">
        <v>77</v>
      </c>
      <c r="N670" t="s">
        <v>78</v>
      </c>
      <c r="O670" t="s">
        <v>74</v>
      </c>
      <c r="P670" t="s">
        <v>74</v>
      </c>
      <c r="Q670" t="s">
        <v>74</v>
      </c>
      <c r="R670" t="s">
        <v>74</v>
      </c>
      <c r="S670" t="s">
        <v>74</v>
      </c>
      <c r="T670" t="s">
        <v>74</v>
      </c>
      <c r="U670" t="s">
        <v>9599</v>
      </c>
      <c r="V670" t="s">
        <v>9600</v>
      </c>
      <c r="W670" t="s">
        <v>9601</v>
      </c>
      <c r="X670" t="s">
        <v>9602</v>
      </c>
      <c r="Y670" t="s">
        <v>9603</v>
      </c>
      <c r="Z670" t="s">
        <v>9604</v>
      </c>
      <c r="AA670" t="s">
        <v>9605</v>
      </c>
      <c r="AB670" t="s">
        <v>9606</v>
      </c>
      <c r="AC670" t="s">
        <v>74</v>
      </c>
      <c r="AD670" t="s">
        <v>74</v>
      </c>
      <c r="AE670" t="s">
        <v>74</v>
      </c>
      <c r="AF670" t="s">
        <v>74</v>
      </c>
      <c r="AG670">
        <v>40</v>
      </c>
      <c r="AH670">
        <v>21</v>
      </c>
      <c r="AI670">
        <v>23</v>
      </c>
      <c r="AJ670">
        <v>0</v>
      </c>
      <c r="AK670">
        <v>5</v>
      </c>
      <c r="AL670" t="s">
        <v>228</v>
      </c>
      <c r="AM670" t="s">
        <v>229</v>
      </c>
      <c r="AN670" t="s">
        <v>1170</v>
      </c>
      <c r="AO670" t="s">
        <v>231</v>
      </c>
      <c r="AP670" t="s">
        <v>3918</v>
      </c>
      <c r="AQ670" t="s">
        <v>74</v>
      </c>
      <c r="AR670" t="s">
        <v>232</v>
      </c>
      <c r="AS670" t="s">
        <v>233</v>
      </c>
      <c r="AT670" t="s">
        <v>9181</v>
      </c>
      <c r="AU670">
        <v>2003</v>
      </c>
      <c r="AV670">
        <v>83</v>
      </c>
      <c r="AW670">
        <v>2</v>
      </c>
      <c r="AX670" t="s">
        <v>74</v>
      </c>
      <c r="AY670" t="s">
        <v>74</v>
      </c>
      <c r="AZ670" t="s">
        <v>74</v>
      </c>
      <c r="BA670" t="s">
        <v>74</v>
      </c>
      <c r="BB670">
        <v>319</v>
      </c>
      <c r="BC670">
        <v>328</v>
      </c>
      <c r="BD670" t="s">
        <v>74</v>
      </c>
      <c r="BE670" t="s">
        <v>9607</v>
      </c>
      <c r="BF670" t="str">
        <f>HYPERLINK("http://dx.doi.org/10.1017/S0025315403007148h","http://dx.doi.org/10.1017/S0025315403007148h")</f>
        <v>http://dx.doi.org/10.1017/S0025315403007148h</v>
      </c>
      <c r="BG670" t="s">
        <v>74</v>
      </c>
      <c r="BH670" t="s">
        <v>74</v>
      </c>
      <c r="BI670">
        <v>10</v>
      </c>
      <c r="BJ670" t="s">
        <v>235</v>
      </c>
      <c r="BK670" t="s">
        <v>94</v>
      </c>
      <c r="BL670" t="s">
        <v>235</v>
      </c>
      <c r="BM670" t="s">
        <v>9608</v>
      </c>
      <c r="BN670" t="s">
        <v>74</v>
      </c>
      <c r="BO670" t="s">
        <v>74</v>
      </c>
      <c r="BP670" t="s">
        <v>74</v>
      </c>
      <c r="BQ670" t="s">
        <v>74</v>
      </c>
      <c r="BR670" t="s">
        <v>97</v>
      </c>
      <c r="BS670" t="s">
        <v>9609</v>
      </c>
      <c r="BT670" t="str">
        <f>HYPERLINK("https%3A%2F%2Fwww.webofscience.com%2Fwos%2Fwoscc%2Ffull-record%2FWOS:000182319200011","View Full Record in Web of Science")</f>
        <v>View Full Record in Web of Science</v>
      </c>
    </row>
    <row r="671" spans="1:72" x14ac:dyDescent="0.15">
      <c r="A671" t="s">
        <v>72</v>
      </c>
      <c r="B671" t="s">
        <v>9610</v>
      </c>
      <c r="C671" t="s">
        <v>74</v>
      </c>
      <c r="D671" t="s">
        <v>74</v>
      </c>
      <c r="E671" t="s">
        <v>74</v>
      </c>
      <c r="F671" t="s">
        <v>9610</v>
      </c>
      <c r="G671" t="s">
        <v>74</v>
      </c>
      <c r="H671" t="s">
        <v>74</v>
      </c>
      <c r="I671" t="s">
        <v>9611</v>
      </c>
      <c r="J671" t="s">
        <v>221</v>
      </c>
      <c r="K671" t="s">
        <v>74</v>
      </c>
      <c r="L671" t="s">
        <v>74</v>
      </c>
      <c r="M671" t="s">
        <v>77</v>
      </c>
      <c r="N671" t="s">
        <v>78</v>
      </c>
      <c r="O671" t="s">
        <v>74</v>
      </c>
      <c r="P671" t="s">
        <v>74</v>
      </c>
      <c r="Q671" t="s">
        <v>74</v>
      </c>
      <c r="R671" t="s">
        <v>74</v>
      </c>
      <c r="S671" t="s">
        <v>74</v>
      </c>
      <c r="T671" t="s">
        <v>74</v>
      </c>
      <c r="U671" t="s">
        <v>9612</v>
      </c>
      <c r="V671" t="s">
        <v>9613</v>
      </c>
      <c r="W671" t="s">
        <v>9614</v>
      </c>
      <c r="X671" t="s">
        <v>9615</v>
      </c>
      <c r="Y671" t="s">
        <v>9616</v>
      </c>
      <c r="Z671" t="s">
        <v>74</v>
      </c>
      <c r="AA671" t="s">
        <v>9617</v>
      </c>
      <c r="AB671" t="s">
        <v>9618</v>
      </c>
      <c r="AC671" t="s">
        <v>74</v>
      </c>
      <c r="AD671" t="s">
        <v>74</v>
      </c>
      <c r="AE671" t="s">
        <v>74</v>
      </c>
      <c r="AF671" t="s">
        <v>74</v>
      </c>
      <c r="AG671">
        <v>11</v>
      </c>
      <c r="AH671">
        <v>8</v>
      </c>
      <c r="AI671">
        <v>8</v>
      </c>
      <c r="AJ671">
        <v>1</v>
      </c>
      <c r="AK671">
        <v>8</v>
      </c>
      <c r="AL671" t="s">
        <v>228</v>
      </c>
      <c r="AM671" t="s">
        <v>229</v>
      </c>
      <c r="AN671" t="s">
        <v>1129</v>
      </c>
      <c r="AO671" t="s">
        <v>231</v>
      </c>
      <c r="AP671" t="s">
        <v>74</v>
      </c>
      <c r="AQ671" t="s">
        <v>74</v>
      </c>
      <c r="AR671" t="s">
        <v>232</v>
      </c>
      <c r="AS671" t="s">
        <v>233</v>
      </c>
      <c r="AT671" t="s">
        <v>9181</v>
      </c>
      <c r="AU671">
        <v>2003</v>
      </c>
      <c r="AV671">
        <v>83</v>
      </c>
      <c r="AW671">
        <v>2</v>
      </c>
      <c r="AX671" t="s">
        <v>74</v>
      </c>
      <c r="AY671" t="s">
        <v>74</v>
      </c>
      <c r="AZ671" t="s">
        <v>74</v>
      </c>
      <c r="BA671" t="s">
        <v>74</v>
      </c>
      <c r="BB671">
        <v>329</v>
      </c>
      <c r="BC671">
        <v>330</v>
      </c>
      <c r="BD671" t="s">
        <v>74</v>
      </c>
      <c r="BE671" t="s">
        <v>9619</v>
      </c>
      <c r="BF671" t="str">
        <f>HYPERLINK("http://dx.doi.org/10.1017/S002531540300715Xh","http://dx.doi.org/10.1017/S002531540300715Xh")</f>
        <v>http://dx.doi.org/10.1017/S002531540300715Xh</v>
      </c>
      <c r="BG671" t="s">
        <v>74</v>
      </c>
      <c r="BH671" t="s">
        <v>74</v>
      </c>
      <c r="BI671">
        <v>2</v>
      </c>
      <c r="BJ671" t="s">
        <v>235</v>
      </c>
      <c r="BK671" t="s">
        <v>94</v>
      </c>
      <c r="BL671" t="s">
        <v>235</v>
      </c>
      <c r="BM671" t="s">
        <v>9608</v>
      </c>
      <c r="BN671" t="s">
        <v>74</v>
      </c>
      <c r="BO671" t="s">
        <v>74</v>
      </c>
      <c r="BP671" t="s">
        <v>74</v>
      </c>
      <c r="BQ671" t="s">
        <v>74</v>
      </c>
      <c r="BR671" t="s">
        <v>97</v>
      </c>
      <c r="BS671" t="s">
        <v>9620</v>
      </c>
      <c r="BT671" t="str">
        <f>HYPERLINK("https%3A%2F%2Fwww.webofscience.com%2Fwos%2Fwoscc%2Ffull-record%2FWOS:000182319200012","View Full Record in Web of Science")</f>
        <v>View Full Record in Web of Science</v>
      </c>
    </row>
    <row r="672" spans="1:72" x14ac:dyDescent="0.15">
      <c r="A672" t="s">
        <v>72</v>
      </c>
      <c r="B672" t="s">
        <v>9621</v>
      </c>
      <c r="C672" t="s">
        <v>74</v>
      </c>
      <c r="D672" t="s">
        <v>74</v>
      </c>
      <c r="E672" t="s">
        <v>74</v>
      </c>
      <c r="F672" t="s">
        <v>9621</v>
      </c>
      <c r="G672" t="s">
        <v>74</v>
      </c>
      <c r="H672" t="s">
        <v>74</v>
      </c>
      <c r="I672" t="s">
        <v>9622</v>
      </c>
      <c r="J672" t="s">
        <v>9623</v>
      </c>
      <c r="K672" t="s">
        <v>74</v>
      </c>
      <c r="L672" t="s">
        <v>74</v>
      </c>
      <c r="M672" t="s">
        <v>77</v>
      </c>
      <c r="N672" t="s">
        <v>78</v>
      </c>
      <c r="O672" t="s">
        <v>74</v>
      </c>
      <c r="P672" t="s">
        <v>74</v>
      </c>
      <c r="Q672" t="s">
        <v>74</v>
      </c>
      <c r="R672" t="s">
        <v>74</v>
      </c>
      <c r="S672" t="s">
        <v>74</v>
      </c>
      <c r="T672" t="s">
        <v>9624</v>
      </c>
      <c r="U672" t="s">
        <v>9625</v>
      </c>
      <c r="V672" t="s">
        <v>9626</v>
      </c>
      <c r="W672" t="s">
        <v>9627</v>
      </c>
      <c r="X672" t="s">
        <v>9628</v>
      </c>
      <c r="Y672" t="s">
        <v>9629</v>
      </c>
      <c r="Z672" t="s">
        <v>9630</v>
      </c>
      <c r="AA672" t="s">
        <v>9631</v>
      </c>
      <c r="AB672" t="s">
        <v>9632</v>
      </c>
      <c r="AC672" t="s">
        <v>74</v>
      </c>
      <c r="AD672" t="s">
        <v>74</v>
      </c>
      <c r="AE672" t="s">
        <v>74</v>
      </c>
      <c r="AF672" t="s">
        <v>74</v>
      </c>
      <c r="AG672">
        <v>38</v>
      </c>
      <c r="AH672">
        <v>23</v>
      </c>
      <c r="AI672">
        <v>26</v>
      </c>
      <c r="AJ672">
        <v>2</v>
      </c>
      <c r="AK672">
        <v>5</v>
      </c>
      <c r="AL672" t="s">
        <v>781</v>
      </c>
      <c r="AM672" t="s">
        <v>111</v>
      </c>
      <c r="AN672" t="s">
        <v>782</v>
      </c>
      <c r="AO672" t="s">
        <v>9633</v>
      </c>
      <c r="AP672" t="s">
        <v>9634</v>
      </c>
      <c r="AQ672" t="s">
        <v>74</v>
      </c>
      <c r="AR672" t="s">
        <v>9623</v>
      </c>
      <c r="AS672" t="s">
        <v>9635</v>
      </c>
      <c r="AT672" t="s">
        <v>9181</v>
      </c>
      <c r="AU672">
        <v>2003</v>
      </c>
      <c r="AV672">
        <v>67</v>
      </c>
      <c r="AW672" t="s">
        <v>116</v>
      </c>
      <c r="AX672" t="s">
        <v>74</v>
      </c>
      <c r="AY672" t="s">
        <v>74</v>
      </c>
      <c r="AZ672" t="s">
        <v>74</v>
      </c>
      <c r="BA672" t="s">
        <v>74</v>
      </c>
      <c r="BB672">
        <v>163</v>
      </c>
      <c r="BC672">
        <v>179</v>
      </c>
      <c r="BD672" t="s">
        <v>74</v>
      </c>
      <c r="BE672" t="s">
        <v>9636</v>
      </c>
      <c r="BF672" t="str">
        <f>HYPERLINK("http://dx.doi.org/10.1016/S0024-4937(02)00266-9","http://dx.doi.org/10.1016/S0024-4937(02)00266-9")</f>
        <v>http://dx.doi.org/10.1016/S0024-4937(02)00266-9</v>
      </c>
      <c r="BG672" t="s">
        <v>74</v>
      </c>
      <c r="BH672" t="s">
        <v>74</v>
      </c>
      <c r="BI672">
        <v>17</v>
      </c>
      <c r="BJ672" t="s">
        <v>1598</v>
      </c>
      <c r="BK672" t="s">
        <v>94</v>
      </c>
      <c r="BL672" t="s">
        <v>1598</v>
      </c>
      <c r="BM672" t="s">
        <v>9637</v>
      </c>
      <c r="BN672" t="s">
        <v>74</v>
      </c>
      <c r="BO672" t="s">
        <v>74</v>
      </c>
      <c r="BP672" t="s">
        <v>74</v>
      </c>
      <c r="BQ672" t="s">
        <v>74</v>
      </c>
      <c r="BR672" t="s">
        <v>97</v>
      </c>
      <c r="BS672" t="s">
        <v>9638</v>
      </c>
      <c r="BT672" t="str">
        <f>HYPERLINK("https%3A%2F%2Fwww.webofscience.com%2Fwos%2Fwoscc%2Ffull-record%2FWOS:000181914900001","View Full Record in Web of Science")</f>
        <v>View Full Record in Web of Science</v>
      </c>
    </row>
    <row r="673" spans="1:72" x14ac:dyDescent="0.15">
      <c r="A673" t="s">
        <v>72</v>
      </c>
      <c r="B673" t="s">
        <v>9639</v>
      </c>
      <c r="C673" t="s">
        <v>74</v>
      </c>
      <c r="D673" t="s">
        <v>74</v>
      </c>
      <c r="E673" t="s">
        <v>74</v>
      </c>
      <c r="F673" t="s">
        <v>9639</v>
      </c>
      <c r="G673" t="s">
        <v>74</v>
      </c>
      <c r="H673" t="s">
        <v>74</v>
      </c>
      <c r="I673" t="s">
        <v>9640</v>
      </c>
      <c r="J673" t="s">
        <v>9641</v>
      </c>
      <c r="K673" t="s">
        <v>74</v>
      </c>
      <c r="L673" t="s">
        <v>74</v>
      </c>
      <c r="M673" t="s">
        <v>77</v>
      </c>
      <c r="N673" t="s">
        <v>78</v>
      </c>
      <c r="O673" t="s">
        <v>74</v>
      </c>
      <c r="P673" t="s">
        <v>74</v>
      </c>
      <c r="Q673" t="s">
        <v>74</v>
      </c>
      <c r="R673" t="s">
        <v>74</v>
      </c>
      <c r="S673" t="s">
        <v>74</v>
      </c>
      <c r="T673" t="s">
        <v>9642</v>
      </c>
      <c r="U673" t="s">
        <v>9643</v>
      </c>
      <c r="V673" t="s">
        <v>9644</v>
      </c>
      <c r="W673" t="s">
        <v>9645</v>
      </c>
      <c r="X673" t="s">
        <v>9646</v>
      </c>
      <c r="Y673" t="s">
        <v>9647</v>
      </c>
      <c r="Z673" t="s">
        <v>9648</v>
      </c>
      <c r="AA673" t="s">
        <v>74</v>
      </c>
      <c r="AB673" t="s">
        <v>74</v>
      </c>
      <c r="AC673" t="s">
        <v>74</v>
      </c>
      <c r="AD673" t="s">
        <v>74</v>
      </c>
      <c r="AE673" t="s">
        <v>74</v>
      </c>
      <c r="AF673" t="s">
        <v>74</v>
      </c>
      <c r="AG673">
        <v>42</v>
      </c>
      <c r="AH673">
        <v>18</v>
      </c>
      <c r="AI673">
        <v>20</v>
      </c>
      <c r="AJ673">
        <v>2</v>
      </c>
      <c r="AK673">
        <v>11</v>
      </c>
      <c r="AL673" t="s">
        <v>110</v>
      </c>
      <c r="AM673" t="s">
        <v>111</v>
      </c>
      <c r="AN673" t="s">
        <v>112</v>
      </c>
      <c r="AO673" t="s">
        <v>9649</v>
      </c>
      <c r="AP673" t="s">
        <v>74</v>
      </c>
      <c r="AQ673" t="s">
        <v>74</v>
      </c>
      <c r="AR673" t="s">
        <v>9650</v>
      </c>
      <c r="AS673" t="s">
        <v>9651</v>
      </c>
      <c r="AT673" t="s">
        <v>9181</v>
      </c>
      <c r="AU673">
        <v>2003</v>
      </c>
      <c r="AV673">
        <v>81</v>
      </c>
      <c r="AW673" t="s">
        <v>116</v>
      </c>
      <c r="AX673" t="s">
        <v>74</v>
      </c>
      <c r="AY673" t="s">
        <v>74</v>
      </c>
      <c r="AZ673" t="s">
        <v>74</v>
      </c>
      <c r="BA673" t="s">
        <v>74</v>
      </c>
      <c r="BB673">
        <v>105</v>
      </c>
      <c r="BC673">
        <v>117</v>
      </c>
      <c r="BD673" t="s">
        <v>74</v>
      </c>
      <c r="BE673" t="s">
        <v>9652</v>
      </c>
      <c r="BF673" t="str">
        <f>HYPERLINK("http://dx.doi.org/10.1016/S0304-4203(02)00070-1","http://dx.doi.org/10.1016/S0304-4203(02)00070-1")</f>
        <v>http://dx.doi.org/10.1016/S0304-4203(02)00070-1</v>
      </c>
      <c r="BG673" t="s">
        <v>74</v>
      </c>
      <c r="BH673" t="s">
        <v>74</v>
      </c>
      <c r="BI673">
        <v>13</v>
      </c>
      <c r="BJ673" t="s">
        <v>9653</v>
      </c>
      <c r="BK673" t="s">
        <v>94</v>
      </c>
      <c r="BL673" t="s">
        <v>9654</v>
      </c>
      <c r="BM673" t="s">
        <v>9655</v>
      </c>
      <c r="BN673" t="s">
        <v>74</v>
      </c>
      <c r="BO673" t="s">
        <v>74</v>
      </c>
      <c r="BP673" t="s">
        <v>74</v>
      </c>
      <c r="BQ673" t="s">
        <v>74</v>
      </c>
      <c r="BR673" t="s">
        <v>97</v>
      </c>
      <c r="BS673" t="s">
        <v>9656</v>
      </c>
      <c r="BT673" t="str">
        <f>HYPERLINK("https%3A%2F%2Fwww.webofscience.com%2Fwos%2Fwoscc%2Ffull-record%2FWOS:000182642900001","View Full Record in Web of Science")</f>
        <v>View Full Record in Web of Science</v>
      </c>
    </row>
    <row r="674" spans="1:72" x14ac:dyDescent="0.15">
      <c r="A674" t="s">
        <v>72</v>
      </c>
      <c r="B674" t="s">
        <v>9657</v>
      </c>
      <c r="C674" t="s">
        <v>74</v>
      </c>
      <c r="D674" t="s">
        <v>74</v>
      </c>
      <c r="E674" t="s">
        <v>74</v>
      </c>
      <c r="F674" t="s">
        <v>9657</v>
      </c>
      <c r="G674" t="s">
        <v>74</v>
      </c>
      <c r="H674" t="s">
        <v>74</v>
      </c>
      <c r="I674" t="s">
        <v>9658</v>
      </c>
      <c r="J674" t="s">
        <v>5353</v>
      </c>
      <c r="K674" t="s">
        <v>74</v>
      </c>
      <c r="L674" t="s">
        <v>74</v>
      </c>
      <c r="M674" t="s">
        <v>77</v>
      </c>
      <c r="N674" t="s">
        <v>78</v>
      </c>
      <c r="O674" t="s">
        <v>74</v>
      </c>
      <c r="P674" t="s">
        <v>74</v>
      </c>
      <c r="Q674" t="s">
        <v>74</v>
      </c>
      <c r="R674" t="s">
        <v>74</v>
      </c>
      <c r="S674" t="s">
        <v>74</v>
      </c>
      <c r="T674" t="s">
        <v>9659</v>
      </c>
      <c r="U674" t="s">
        <v>9660</v>
      </c>
      <c r="V674" t="s">
        <v>9661</v>
      </c>
      <c r="W674" t="s">
        <v>9662</v>
      </c>
      <c r="X674" t="s">
        <v>5068</v>
      </c>
      <c r="Y674" t="s">
        <v>9663</v>
      </c>
      <c r="Z674" t="s">
        <v>74</v>
      </c>
      <c r="AA674" t="s">
        <v>9664</v>
      </c>
      <c r="AB674" t="s">
        <v>9665</v>
      </c>
      <c r="AC674" t="s">
        <v>74</v>
      </c>
      <c r="AD674" t="s">
        <v>74</v>
      </c>
      <c r="AE674" t="s">
        <v>74</v>
      </c>
      <c r="AF674" t="s">
        <v>74</v>
      </c>
      <c r="AG674">
        <v>36</v>
      </c>
      <c r="AH674">
        <v>12</v>
      </c>
      <c r="AI674">
        <v>13</v>
      </c>
      <c r="AJ674">
        <v>0</v>
      </c>
      <c r="AK674">
        <v>12</v>
      </c>
      <c r="AL674" t="s">
        <v>5361</v>
      </c>
      <c r="AM674" t="s">
        <v>5362</v>
      </c>
      <c r="AN674" t="s">
        <v>5363</v>
      </c>
      <c r="AO674" t="s">
        <v>5364</v>
      </c>
      <c r="AP674" t="s">
        <v>74</v>
      </c>
      <c r="AQ674" t="s">
        <v>74</v>
      </c>
      <c r="AR674" t="s">
        <v>5365</v>
      </c>
      <c r="AS674" t="s">
        <v>5366</v>
      </c>
      <c r="AT674" t="s">
        <v>9181</v>
      </c>
      <c r="AU674">
        <v>2003</v>
      </c>
      <c r="AV674">
        <v>19</v>
      </c>
      <c r="AW674">
        <v>2</v>
      </c>
      <c r="AX674" t="s">
        <v>74</v>
      </c>
      <c r="AY674" t="s">
        <v>74</v>
      </c>
      <c r="AZ674" t="s">
        <v>74</v>
      </c>
      <c r="BA674" t="s">
        <v>74</v>
      </c>
      <c r="BB674">
        <v>318</v>
      </c>
      <c r="BC674">
        <v>330</v>
      </c>
      <c r="BD674" t="s">
        <v>74</v>
      </c>
      <c r="BE674" t="s">
        <v>9666</v>
      </c>
      <c r="BF674" t="str">
        <f>HYPERLINK("http://dx.doi.org/10.1111/j.1748-7692.2003.tb01111.x","http://dx.doi.org/10.1111/j.1748-7692.2003.tb01111.x")</f>
        <v>http://dx.doi.org/10.1111/j.1748-7692.2003.tb01111.x</v>
      </c>
      <c r="BG674" t="s">
        <v>74</v>
      </c>
      <c r="BH674" t="s">
        <v>74</v>
      </c>
      <c r="BI674">
        <v>13</v>
      </c>
      <c r="BJ674" t="s">
        <v>3814</v>
      </c>
      <c r="BK674" t="s">
        <v>94</v>
      </c>
      <c r="BL674" t="s">
        <v>3814</v>
      </c>
      <c r="BM674" t="s">
        <v>9667</v>
      </c>
      <c r="BN674" t="s">
        <v>74</v>
      </c>
      <c r="BO674" t="s">
        <v>74</v>
      </c>
      <c r="BP674" t="s">
        <v>74</v>
      </c>
      <c r="BQ674" t="s">
        <v>74</v>
      </c>
      <c r="BR674" t="s">
        <v>97</v>
      </c>
      <c r="BS674" t="s">
        <v>9668</v>
      </c>
      <c r="BT674" t="str">
        <f>HYPERLINK("https%3A%2F%2Fwww.webofscience.com%2Fwos%2Fwoscc%2Ffull-record%2FWOS:000181582200005","View Full Record in Web of Science")</f>
        <v>View Full Record in Web of Science</v>
      </c>
    </row>
    <row r="675" spans="1:72" x14ac:dyDescent="0.15">
      <c r="A675" t="s">
        <v>72</v>
      </c>
      <c r="B675" t="s">
        <v>9669</v>
      </c>
      <c r="C675" t="s">
        <v>74</v>
      </c>
      <c r="D675" t="s">
        <v>74</v>
      </c>
      <c r="E675" t="s">
        <v>74</v>
      </c>
      <c r="F675" t="s">
        <v>9669</v>
      </c>
      <c r="G675" t="s">
        <v>74</v>
      </c>
      <c r="H675" t="s">
        <v>74</v>
      </c>
      <c r="I675" t="s">
        <v>9670</v>
      </c>
      <c r="J675" t="s">
        <v>5353</v>
      </c>
      <c r="K675" t="s">
        <v>74</v>
      </c>
      <c r="L675" t="s">
        <v>74</v>
      </c>
      <c r="M675" t="s">
        <v>77</v>
      </c>
      <c r="N675" t="s">
        <v>78</v>
      </c>
      <c r="O675" t="s">
        <v>74</v>
      </c>
      <c r="P675" t="s">
        <v>74</v>
      </c>
      <c r="Q675" t="s">
        <v>74</v>
      </c>
      <c r="R675" t="s">
        <v>74</v>
      </c>
      <c r="S675" t="s">
        <v>74</v>
      </c>
      <c r="T675" t="s">
        <v>9671</v>
      </c>
      <c r="U675" t="s">
        <v>9672</v>
      </c>
      <c r="V675" t="s">
        <v>9673</v>
      </c>
      <c r="W675" t="s">
        <v>9674</v>
      </c>
      <c r="X675" t="s">
        <v>6555</v>
      </c>
      <c r="Y675" t="s">
        <v>9675</v>
      </c>
      <c r="Z675" t="s">
        <v>74</v>
      </c>
      <c r="AA675" t="s">
        <v>9676</v>
      </c>
      <c r="AB675" t="s">
        <v>9677</v>
      </c>
      <c r="AC675" t="s">
        <v>74</v>
      </c>
      <c r="AD675" t="s">
        <v>74</v>
      </c>
      <c r="AE675" t="s">
        <v>74</v>
      </c>
      <c r="AF675" t="s">
        <v>74</v>
      </c>
      <c r="AG675">
        <v>23</v>
      </c>
      <c r="AH675">
        <v>39</v>
      </c>
      <c r="AI675">
        <v>41</v>
      </c>
      <c r="AJ675">
        <v>0</v>
      </c>
      <c r="AK675">
        <v>13</v>
      </c>
      <c r="AL675" t="s">
        <v>5361</v>
      </c>
      <c r="AM675" t="s">
        <v>5362</v>
      </c>
      <c r="AN675" t="s">
        <v>5363</v>
      </c>
      <c r="AO675" t="s">
        <v>5364</v>
      </c>
      <c r="AP675" t="s">
        <v>74</v>
      </c>
      <c r="AQ675" t="s">
        <v>74</v>
      </c>
      <c r="AR675" t="s">
        <v>5365</v>
      </c>
      <c r="AS675" t="s">
        <v>5366</v>
      </c>
      <c r="AT675" t="s">
        <v>9181</v>
      </c>
      <c r="AU675">
        <v>2003</v>
      </c>
      <c r="AV675">
        <v>19</v>
      </c>
      <c r="AW675">
        <v>2</v>
      </c>
      <c r="AX675" t="s">
        <v>74</v>
      </c>
      <c r="AY675" t="s">
        <v>74</v>
      </c>
      <c r="AZ675" t="s">
        <v>74</v>
      </c>
      <c r="BA675" t="s">
        <v>74</v>
      </c>
      <c r="BB675">
        <v>331</v>
      </c>
      <c r="BC675">
        <v>343</v>
      </c>
      <c r="BD675" t="s">
        <v>74</v>
      </c>
      <c r="BE675" t="s">
        <v>9678</v>
      </c>
      <c r="BF675" t="str">
        <f>HYPERLINK("http://dx.doi.org/10.1111/j.1748-7692.2003.tb01112.x","http://dx.doi.org/10.1111/j.1748-7692.2003.tb01112.x")</f>
        <v>http://dx.doi.org/10.1111/j.1748-7692.2003.tb01112.x</v>
      </c>
      <c r="BG675" t="s">
        <v>74</v>
      </c>
      <c r="BH675" t="s">
        <v>74</v>
      </c>
      <c r="BI675">
        <v>13</v>
      </c>
      <c r="BJ675" t="s">
        <v>3814</v>
      </c>
      <c r="BK675" t="s">
        <v>94</v>
      </c>
      <c r="BL675" t="s">
        <v>3814</v>
      </c>
      <c r="BM675" t="s">
        <v>9667</v>
      </c>
      <c r="BN675" t="s">
        <v>74</v>
      </c>
      <c r="BO675" t="s">
        <v>74</v>
      </c>
      <c r="BP675" t="s">
        <v>74</v>
      </c>
      <c r="BQ675" t="s">
        <v>74</v>
      </c>
      <c r="BR675" t="s">
        <v>97</v>
      </c>
      <c r="BS675" t="s">
        <v>9679</v>
      </c>
      <c r="BT675" t="str">
        <f>HYPERLINK("https%3A%2F%2Fwww.webofscience.com%2Fwos%2Fwoscc%2Ffull-record%2FWOS:000181582200006","View Full Record in Web of Science")</f>
        <v>View Full Record in Web of Science</v>
      </c>
    </row>
    <row r="676" spans="1:72" x14ac:dyDescent="0.15">
      <c r="A676" t="s">
        <v>72</v>
      </c>
      <c r="B676" t="s">
        <v>9680</v>
      </c>
      <c r="C676" t="s">
        <v>74</v>
      </c>
      <c r="D676" t="s">
        <v>74</v>
      </c>
      <c r="E676" t="s">
        <v>74</v>
      </c>
      <c r="F676" t="s">
        <v>9680</v>
      </c>
      <c r="G676" t="s">
        <v>74</v>
      </c>
      <c r="H676" t="s">
        <v>74</v>
      </c>
      <c r="I676" t="s">
        <v>9681</v>
      </c>
      <c r="J676" t="s">
        <v>5353</v>
      </c>
      <c r="K676" t="s">
        <v>74</v>
      </c>
      <c r="L676" t="s">
        <v>74</v>
      </c>
      <c r="M676" t="s">
        <v>77</v>
      </c>
      <c r="N676" t="s">
        <v>78</v>
      </c>
      <c r="O676" t="s">
        <v>74</v>
      </c>
      <c r="P676" t="s">
        <v>74</v>
      </c>
      <c r="Q676" t="s">
        <v>74</v>
      </c>
      <c r="R676" t="s">
        <v>74</v>
      </c>
      <c r="S676" t="s">
        <v>74</v>
      </c>
      <c r="T676" t="s">
        <v>9682</v>
      </c>
      <c r="U676" t="s">
        <v>9683</v>
      </c>
      <c r="V676" t="s">
        <v>9684</v>
      </c>
      <c r="W676" t="s">
        <v>9674</v>
      </c>
      <c r="X676" t="s">
        <v>6555</v>
      </c>
      <c r="Y676" t="s">
        <v>9675</v>
      </c>
      <c r="Z676" t="s">
        <v>74</v>
      </c>
      <c r="AA676" t="s">
        <v>9676</v>
      </c>
      <c r="AB676" t="s">
        <v>9677</v>
      </c>
      <c r="AC676" t="s">
        <v>74</v>
      </c>
      <c r="AD676" t="s">
        <v>74</v>
      </c>
      <c r="AE676" t="s">
        <v>74</v>
      </c>
      <c r="AF676" t="s">
        <v>74</v>
      </c>
      <c r="AG676">
        <v>18</v>
      </c>
      <c r="AH676">
        <v>14</v>
      </c>
      <c r="AI676">
        <v>16</v>
      </c>
      <c r="AJ676">
        <v>0</v>
      </c>
      <c r="AK676">
        <v>7</v>
      </c>
      <c r="AL676" t="s">
        <v>5361</v>
      </c>
      <c r="AM676" t="s">
        <v>5362</v>
      </c>
      <c r="AN676" t="s">
        <v>5363</v>
      </c>
      <c r="AO676" t="s">
        <v>5364</v>
      </c>
      <c r="AP676" t="s">
        <v>74</v>
      </c>
      <c r="AQ676" t="s">
        <v>74</v>
      </c>
      <c r="AR676" t="s">
        <v>5365</v>
      </c>
      <c r="AS676" t="s">
        <v>5366</v>
      </c>
      <c r="AT676" t="s">
        <v>9181</v>
      </c>
      <c r="AU676">
        <v>2003</v>
      </c>
      <c r="AV676">
        <v>19</v>
      </c>
      <c r="AW676">
        <v>2</v>
      </c>
      <c r="AX676" t="s">
        <v>74</v>
      </c>
      <c r="AY676" t="s">
        <v>74</v>
      </c>
      <c r="AZ676" t="s">
        <v>74</v>
      </c>
      <c r="BA676" t="s">
        <v>74</v>
      </c>
      <c r="BB676">
        <v>363</v>
      </c>
      <c r="BC676">
        <v>370</v>
      </c>
      <c r="BD676" t="s">
        <v>74</v>
      </c>
      <c r="BE676" t="s">
        <v>9685</v>
      </c>
      <c r="BF676" t="str">
        <f>HYPERLINK("http://dx.doi.org/10.1111/j.1748-7692.2003.tb01114.x","http://dx.doi.org/10.1111/j.1748-7692.2003.tb01114.x")</f>
        <v>http://dx.doi.org/10.1111/j.1748-7692.2003.tb01114.x</v>
      </c>
      <c r="BG676" t="s">
        <v>74</v>
      </c>
      <c r="BH676" t="s">
        <v>74</v>
      </c>
      <c r="BI676">
        <v>8</v>
      </c>
      <c r="BJ676" t="s">
        <v>3814</v>
      </c>
      <c r="BK676" t="s">
        <v>94</v>
      </c>
      <c r="BL676" t="s">
        <v>3814</v>
      </c>
      <c r="BM676" t="s">
        <v>9667</v>
      </c>
      <c r="BN676" t="s">
        <v>74</v>
      </c>
      <c r="BO676" t="s">
        <v>74</v>
      </c>
      <c r="BP676" t="s">
        <v>74</v>
      </c>
      <c r="BQ676" t="s">
        <v>74</v>
      </c>
      <c r="BR676" t="s">
        <v>97</v>
      </c>
      <c r="BS676" t="s">
        <v>9686</v>
      </c>
      <c r="BT676" t="str">
        <f>HYPERLINK("https%3A%2F%2Fwww.webofscience.com%2Fwos%2Fwoscc%2Ffull-record%2FWOS:000181582200008","View Full Record in Web of Science")</f>
        <v>View Full Record in Web of Science</v>
      </c>
    </row>
    <row r="677" spans="1:72" x14ac:dyDescent="0.15">
      <c r="A677" t="s">
        <v>72</v>
      </c>
      <c r="B677" t="s">
        <v>9687</v>
      </c>
      <c r="C677" t="s">
        <v>74</v>
      </c>
      <c r="D677" t="s">
        <v>74</v>
      </c>
      <c r="E677" t="s">
        <v>74</v>
      </c>
      <c r="F677" t="s">
        <v>9687</v>
      </c>
      <c r="G677" t="s">
        <v>74</v>
      </c>
      <c r="H677" t="s">
        <v>74</v>
      </c>
      <c r="I677" t="s">
        <v>9688</v>
      </c>
      <c r="J677" t="s">
        <v>5353</v>
      </c>
      <c r="K677" t="s">
        <v>74</v>
      </c>
      <c r="L677" t="s">
        <v>74</v>
      </c>
      <c r="M677" t="s">
        <v>77</v>
      </c>
      <c r="N677" t="s">
        <v>78</v>
      </c>
      <c r="O677" t="s">
        <v>74</v>
      </c>
      <c r="P677" t="s">
        <v>74</v>
      </c>
      <c r="Q677" t="s">
        <v>74</v>
      </c>
      <c r="R677" t="s">
        <v>74</v>
      </c>
      <c r="S677" t="s">
        <v>74</v>
      </c>
      <c r="T677" t="s">
        <v>74</v>
      </c>
      <c r="U677" t="s">
        <v>9689</v>
      </c>
      <c r="V677" t="s">
        <v>74</v>
      </c>
      <c r="W677" t="s">
        <v>9690</v>
      </c>
      <c r="X677" t="s">
        <v>9691</v>
      </c>
      <c r="Y677" t="s">
        <v>9692</v>
      </c>
      <c r="Z677" t="s">
        <v>9693</v>
      </c>
      <c r="AA677" t="s">
        <v>74</v>
      </c>
      <c r="AB677" t="s">
        <v>9694</v>
      </c>
      <c r="AC677" t="s">
        <v>74</v>
      </c>
      <c r="AD677" t="s">
        <v>74</v>
      </c>
      <c r="AE677" t="s">
        <v>74</v>
      </c>
      <c r="AF677" t="s">
        <v>74</v>
      </c>
      <c r="AG677">
        <v>33</v>
      </c>
      <c r="AH677">
        <v>37</v>
      </c>
      <c r="AI677">
        <v>41</v>
      </c>
      <c r="AJ677">
        <v>2</v>
      </c>
      <c r="AK677">
        <v>20</v>
      </c>
      <c r="AL677" t="s">
        <v>250</v>
      </c>
      <c r="AM677" t="s">
        <v>251</v>
      </c>
      <c r="AN677" t="s">
        <v>252</v>
      </c>
      <c r="AO677" t="s">
        <v>5364</v>
      </c>
      <c r="AP677" t="s">
        <v>9695</v>
      </c>
      <c r="AQ677" t="s">
        <v>74</v>
      </c>
      <c r="AR677" t="s">
        <v>5365</v>
      </c>
      <c r="AS677" t="s">
        <v>5366</v>
      </c>
      <c r="AT677" t="s">
        <v>9181</v>
      </c>
      <c r="AU677">
        <v>2003</v>
      </c>
      <c r="AV677">
        <v>19</v>
      </c>
      <c r="AW677">
        <v>2</v>
      </c>
      <c r="AX677" t="s">
        <v>74</v>
      </c>
      <c r="AY677" t="s">
        <v>74</v>
      </c>
      <c r="AZ677" t="s">
        <v>74</v>
      </c>
      <c r="BA677" t="s">
        <v>74</v>
      </c>
      <c r="BB677">
        <v>400</v>
      </c>
      <c r="BC677">
        <v>406</v>
      </c>
      <c r="BD677" t="s">
        <v>74</v>
      </c>
      <c r="BE677" t="s">
        <v>9696</v>
      </c>
      <c r="BF677" t="str">
        <f>HYPERLINK("http://dx.doi.org/10.1111/j.1748-7692.2003.tb01118.x","http://dx.doi.org/10.1111/j.1748-7692.2003.tb01118.x")</f>
        <v>http://dx.doi.org/10.1111/j.1748-7692.2003.tb01118.x</v>
      </c>
      <c r="BG677" t="s">
        <v>74</v>
      </c>
      <c r="BH677" t="s">
        <v>74</v>
      </c>
      <c r="BI677">
        <v>7</v>
      </c>
      <c r="BJ677" t="s">
        <v>3814</v>
      </c>
      <c r="BK677" t="s">
        <v>94</v>
      </c>
      <c r="BL677" t="s">
        <v>3814</v>
      </c>
      <c r="BM677" t="s">
        <v>9667</v>
      </c>
      <c r="BN677" t="s">
        <v>74</v>
      </c>
      <c r="BO677" t="s">
        <v>74</v>
      </c>
      <c r="BP677" t="s">
        <v>74</v>
      </c>
      <c r="BQ677" t="s">
        <v>74</v>
      </c>
      <c r="BR677" t="s">
        <v>97</v>
      </c>
      <c r="BS677" t="s">
        <v>9697</v>
      </c>
      <c r="BT677" t="str">
        <f>HYPERLINK("https%3A%2F%2Fwww.webofscience.com%2Fwos%2Fwoscc%2Ffull-record%2FWOS:000181582200012","View Full Record in Web of Science")</f>
        <v>View Full Record in Web of Science</v>
      </c>
    </row>
    <row r="678" spans="1:72" x14ac:dyDescent="0.15">
      <c r="A678" t="s">
        <v>72</v>
      </c>
      <c r="B678" t="s">
        <v>9698</v>
      </c>
      <c r="C678" t="s">
        <v>74</v>
      </c>
      <c r="D678" t="s">
        <v>74</v>
      </c>
      <c r="E678" t="s">
        <v>74</v>
      </c>
      <c r="F678" t="s">
        <v>9698</v>
      </c>
      <c r="G678" t="s">
        <v>74</v>
      </c>
      <c r="H678" t="s">
        <v>74</v>
      </c>
      <c r="I678" t="s">
        <v>9699</v>
      </c>
      <c r="J678" t="s">
        <v>6931</v>
      </c>
      <c r="K678" t="s">
        <v>74</v>
      </c>
      <c r="L678" t="s">
        <v>74</v>
      </c>
      <c r="M678" t="s">
        <v>77</v>
      </c>
      <c r="N678" t="s">
        <v>78</v>
      </c>
      <c r="O678" t="s">
        <v>74</v>
      </c>
      <c r="P678" t="s">
        <v>74</v>
      </c>
      <c r="Q678" t="s">
        <v>74</v>
      </c>
      <c r="R678" t="s">
        <v>74</v>
      </c>
      <c r="S678" t="s">
        <v>74</v>
      </c>
      <c r="T678" t="s">
        <v>74</v>
      </c>
      <c r="U678" t="s">
        <v>9700</v>
      </c>
      <c r="V678" t="s">
        <v>9701</v>
      </c>
      <c r="W678" t="s">
        <v>9702</v>
      </c>
      <c r="X678" t="s">
        <v>9703</v>
      </c>
      <c r="Y678" t="s">
        <v>9704</v>
      </c>
      <c r="Z678" t="s">
        <v>9705</v>
      </c>
      <c r="AA678" t="s">
        <v>9706</v>
      </c>
      <c r="AB678" t="s">
        <v>9707</v>
      </c>
      <c r="AC678" t="s">
        <v>74</v>
      </c>
      <c r="AD678" t="s">
        <v>74</v>
      </c>
      <c r="AE678" t="s">
        <v>74</v>
      </c>
      <c r="AF678" t="s">
        <v>74</v>
      </c>
      <c r="AG678">
        <v>39</v>
      </c>
      <c r="AH678">
        <v>96</v>
      </c>
      <c r="AI678">
        <v>101</v>
      </c>
      <c r="AJ678">
        <v>0</v>
      </c>
      <c r="AK678">
        <v>25</v>
      </c>
      <c r="AL678" t="s">
        <v>85</v>
      </c>
      <c r="AM678" t="s">
        <v>86</v>
      </c>
      <c r="AN678" t="s">
        <v>87</v>
      </c>
      <c r="AO678" t="s">
        <v>6938</v>
      </c>
      <c r="AP678" t="s">
        <v>9708</v>
      </c>
      <c r="AQ678" t="s">
        <v>74</v>
      </c>
      <c r="AR678" t="s">
        <v>6939</v>
      </c>
      <c r="AS678" t="s">
        <v>6940</v>
      </c>
      <c r="AT678" t="s">
        <v>9181</v>
      </c>
      <c r="AU678">
        <v>2003</v>
      </c>
      <c r="AV678">
        <v>131</v>
      </c>
      <c r="AW678">
        <v>4</v>
      </c>
      <c r="AX678" t="s">
        <v>74</v>
      </c>
      <c r="AY678" t="s">
        <v>74</v>
      </c>
      <c r="AZ678" t="s">
        <v>74</v>
      </c>
      <c r="BA678" t="s">
        <v>74</v>
      </c>
      <c r="BB678">
        <v>733</v>
      </c>
      <c r="BC678">
        <v>743</v>
      </c>
      <c r="BD678" t="s">
        <v>74</v>
      </c>
      <c r="BE678" t="s">
        <v>9709</v>
      </c>
      <c r="BF678" t="str">
        <f>HYPERLINK("http://dx.doi.org/10.1175/1520-0493(2003)131&lt;0733:FCTNSW&gt;2.0.CO;2","http://dx.doi.org/10.1175/1520-0493(2003)131&lt;0733:FCTNSW&gt;2.0.CO;2")</f>
        <v>http://dx.doi.org/10.1175/1520-0493(2003)131&lt;0733:FCTNSW&gt;2.0.CO;2</v>
      </c>
      <c r="BG678" t="s">
        <v>74</v>
      </c>
      <c r="BH678" t="s">
        <v>74</v>
      </c>
      <c r="BI678">
        <v>11</v>
      </c>
      <c r="BJ678" t="s">
        <v>93</v>
      </c>
      <c r="BK678" t="s">
        <v>94</v>
      </c>
      <c r="BL678" t="s">
        <v>93</v>
      </c>
      <c r="BM678" t="s">
        <v>9710</v>
      </c>
      <c r="BN678" t="s">
        <v>74</v>
      </c>
      <c r="BO678" t="s">
        <v>759</v>
      </c>
      <c r="BP678" t="s">
        <v>74</v>
      </c>
      <c r="BQ678" t="s">
        <v>74</v>
      </c>
      <c r="BR678" t="s">
        <v>97</v>
      </c>
      <c r="BS678" t="s">
        <v>9711</v>
      </c>
      <c r="BT678" t="str">
        <f>HYPERLINK("https%3A%2F%2Fwww.webofscience.com%2Fwos%2Fwoscc%2Ffull-record%2FWOS:000181717900011","View Full Record in Web of Science")</f>
        <v>View Full Record in Web of Science</v>
      </c>
    </row>
    <row r="679" spans="1:72" x14ac:dyDescent="0.15">
      <c r="A679" t="s">
        <v>72</v>
      </c>
      <c r="B679" t="s">
        <v>9712</v>
      </c>
      <c r="C679" t="s">
        <v>74</v>
      </c>
      <c r="D679" t="s">
        <v>74</v>
      </c>
      <c r="E679" t="s">
        <v>74</v>
      </c>
      <c r="F679" t="s">
        <v>9712</v>
      </c>
      <c r="G679" t="s">
        <v>74</v>
      </c>
      <c r="H679" t="s">
        <v>74</v>
      </c>
      <c r="I679" t="s">
        <v>9713</v>
      </c>
      <c r="J679" t="s">
        <v>9714</v>
      </c>
      <c r="K679" t="s">
        <v>74</v>
      </c>
      <c r="L679" t="s">
        <v>74</v>
      </c>
      <c r="M679" t="s">
        <v>77</v>
      </c>
      <c r="N679" t="s">
        <v>78</v>
      </c>
      <c r="O679" t="s">
        <v>74</v>
      </c>
      <c r="P679" t="s">
        <v>74</v>
      </c>
      <c r="Q679" t="s">
        <v>74</v>
      </c>
      <c r="R679" t="s">
        <v>74</v>
      </c>
      <c r="S679" t="s">
        <v>74</v>
      </c>
      <c r="T679" t="s">
        <v>9715</v>
      </c>
      <c r="U679" t="s">
        <v>74</v>
      </c>
      <c r="V679" t="s">
        <v>9716</v>
      </c>
      <c r="W679" t="s">
        <v>9717</v>
      </c>
      <c r="X679" t="s">
        <v>9718</v>
      </c>
      <c r="Y679" t="s">
        <v>9719</v>
      </c>
      <c r="Z679" t="s">
        <v>74</v>
      </c>
      <c r="AA679" t="s">
        <v>9720</v>
      </c>
      <c r="AB679" t="s">
        <v>9721</v>
      </c>
      <c r="AC679" t="s">
        <v>74</v>
      </c>
      <c r="AD679" t="s">
        <v>74</v>
      </c>
      <c r="AE679" t="s">
        <v>74</v>
      </c>
      <c r="AF679" t="s">
        <v>74</v>
      </c>
      <c r="AG679">
        <v>9</v>
      </c>
      <c r="AH679">
        <v>5</v>
      </c>
      <c r="AI679">
        <v>5</v>
      </c>
      <c r="AJ679">
        <v>1</v>
      </c>
      <c r="AK679">
        <v>1</v>
      </c>
      <c r="AL679" t="s">
        <v>9722</v>
      </c>
      <c r="AM679" t="s">
        <v>9723</v>
      </c>
      <c r="AN679" t="s">
        <v>9724</v>
      </c>
      <c r="AO679" t="s">
        <v>9725</v>
      </c>
      <c r="AP679" t="s">
        <v>74</v>
      </c>
      <c r="AQ679" t="s">
        <v>74</v>
      </c>
      <c r="AR679" t="s">
        <v>9714</v>
      </c>
      <c r="AS679" t="s">
        <v>9726</v>
      </c>
      <c r="AT679" t="s">
        <v>9466</v>
      </c>
      <c r="AU679">
        <v>2003</v>
      </c>
      <c r="AV679">
        <v>86</v>
      </c>
      <c r="AW679" t="s">
        <v>74</v>
      </c>
      <c r="AX679" t="s">
        <v>74</v>
      </c>
      <c r="AY679" t="s">
        <v>74</v>
      </c>
      <c r="AZ679" t="s">
        <v>74</v>
      </c>
      <c r="BA679" t="s">
        <v>74</v>
      </c>
      <c r="BB679">
        <v>163</v>
      </c>
      <c r="BC679">
        <v>168</v>
      </c>
      <c r="BD679" t="s">
        <v>74</v>
      </c>
      <c r="BE679" t="s">
        <v>74</v>
      </c>
      <c r="BF679" t="s">
        <v>74</v>
      </c>
      <c r="BG679" t="s">
        <v>74</v>
      </c>
      <c r="BH679" t="s">
        <v>74</v>
      </c>
      <c r="BI679">
        <v>6</v>
      </c>
      <c r="BJ679" t="s">
        <v>8631</v>
      </c>
      <c r="BK679" t="s">
        <v>94</v>
      </c>
      <c r="BL679" t="s">
        <v>8631</v>
      </c>
      <c r="BM679" t="s">
        <v>9727</v>
      </c>
      <c r="BN679" t="s">
        <v>74</v>
      </c>
      <c r="BO679" t="s">
        <v>74</v>
      </c>
      <c r="BP679" t="s">
        <v>74</v>
      </c>
      <c r="BQ679" t="s">
        <v>74</v>
      </c>
      <c r="BR679" t="s">
        <v>97</v>
      </c>
      <c r="BS679" t="s">
        <v>9728</v>
      </c>
      <c r="BT679" t="str">
        <f>HYPERLINK("https%3A%2F%2Fwww.webofscience.com%2Fwos%2Fwoscc%2Ffull-record%2FWOS:000183957600015","View Full Record in Web of Science")</f>
        <v>View Full Record in Web of Science</v>
      </c>
    </row>
    <row r="680" spans="1:72" x14ac:dyDescent="0.15">
      <c r="A680" t="s">
        <v>72</v>
      </c>
      <c r="B680" t="s">
        <v>9729</v>
      </c>
      <c r="C680" t="s">
        <v>74</v>
      </c>
      <c r="D680" t="s">
        <v>74</v>
      </c>
      <c r="E680" t="s">
        <v>74</v>
      </c>
      <c r="F680" t="s">
        <v>9729</v>
      </c>
      <c r="G680" t="s">
        <v>74</v>
      </c>
      <c r="H680" t="s">
        <v>9730</v>
      </c>
      <c r="I680" t="s">
        <v>9731</v>
      </c>
      <c r="J680" t="s">
        <v>9732</v>
      </c>
      <c r="K680" t="s">
        <v>74</v>
      </c>
      <c r="L680" t="s">
        <v>74</v>
      </c>
      <c r="M680" t="s">
        <v>77</v>
      </c>
      <c r="N680" t="s">
        <v>159</v>
      </c>
      <c r="O680" t="s">
        <v>9733</v>
      </c>
      <c r="P680" t="s">
        <v>9734</v>
      </c>
      <c r="Q680" t="s">
        <v>9735</v>
      </c>
      <c r="R680" t="s">
        <v>74</v>
      </c>
      <c r="S680" t="s">
        <v>74</v>
      </c>
      <c r="T680" t="s">
        <v>74</v>
      </c>
      <c r="U680" t="s">
        <v>9736</v>
      </c>
      <c r="V680" t="s">
        <v>9737</v>
      </c>
      <c r="W680" t="s">
        <v>9738</v>
      </c>
      <c r="X680" t="s">
        <v>9739</v>
      </c>
      <c r="Y680" t="s">
        <v>9740</v>
      </c>
      <c r="Z680" t="s">
        <v>74</v>
      </c>
      <c r="AA680" t="s">
        <v>9741</v>
      </c>
      <c r="AB680" t="s">
        <v>9742</v>
      </c>
      <c r="AC680" t="s">
        <v>74</v>
      </c>
      <c r="AD680" t="s">
        <v>74</v>
      </c>
      <c r="AE680" t="s">
        <v>74</v>
      </c>
      <c r="AF680" t="s">
        <v>74</v>
      </c>
      <c r="AG680">
        <v>33</v>
      </c>
      <c r="AH680">
        <v>111</v>
      </c>
      <c r="AI680">
        <v>115</v>
      </c>
      <c r="AJ680">
        <v>0</v>
      </c>
      <c r="AK680">
        <v>0</v>
      </c>
      <c r="AL680" t="s">
        <v>110</v>
      </c>
      <c r="AM680" t="s">
        <v>111</v>
      </c>
      <c r="AN680" t="s">
        <v>112</v>
      </c>
      <c r="AO680" t="s">
        <v>9743</v>
      </c>
      <c r="AP680" t="s">
        <v>9744</v>
      </c>
      <c r="AQ680" t="s">
        <v>74</v>
      </c>
      <c r="AR680" t="s">
        <v>9745</v>
      </c>
      <c r="AS680" t="s">
        <v>9746</v>
      </c>
      <c r="AT680" t="s">
        <v>9181</v>
      </c>
      <c r="AU680">
        <v>2003</v>
      </c>
      <c r="AV680">
        <v>118</v>
      </c>
      <c r="AW680" t="s">
        <v>74</v>
      </c>
      <c r="AX680" t="s">
        <v>74</v>
      </c>
      <c r="AY680" t="s">
        <v>74</v>
      </c>
      <c r="AZ680" t="s">
        <v>74</v>
      </c>
      <c r="BA680" t="s">
        <v>74</v>
      </c>
      <c r="BB680">
        <v>371</v>
      </c>
      <c r="BC680">
        <v>379</v>
      </c>
      <c r="BD680" t="s">
        <v>74</v>
      </c>
      <c r="BE680" t="s">
        <v>9747</v>
      </c>
      <c r="BF680" t="str">
        <f>HYPERLINK("http://dx.doi.org/10.1016/S0920-5632(03)01335-5","http://dx.doi.org/10.1016/S0920-5632(03)01335-5")</f>
        <v>http://dx.doi.org/10.1016/S0920-5632(03)01335-5</v>
      </c>
      <c r="BG680" t="s">
        <v>74</v>
      </c>
      <c r="BH680" t="s">
        <v>74</v>
      </c>
      <c r="BI680">
        <v>9</v>
      </c>
      <c r="BJ680" t="s">
        <v>9748</v>
      </c>
      <c r="BK680" t="s">
        <v>177</v>
      </c>
      <c r="BL680" t="s">
        <v>429</v>
      </c>
      <c r="BM680" t="s">
        <v>9749</v>
      </c>
      <c r="BN680" t="s">
        <v>74</v>
      </c>
      <c r="BO680" t="s">
        <v>1767</v>
      </c>
      <c r="BP680" t="s">
        <v>74</v>
      </c>
      <c r="BQ680" t="s">
        <v>74</v>
      </c>
      <c r="BR680" t="s">
        <v>97</v>
      </c>
      <c r="BS680" t="s">
        <v>9750</v>
      </c>
      <c r="BT680" t="str">
        <f>HYPERLINK("https%3A%2F%2Fwww.webofscience.com%2Fwos%2Fwoscc%2Ffull-record%2FWOS:000182799400039","View Full Record in Web of Science")</f>
        <v>View Full Record in Web of Science</v>
      </c>
    </row>
    <row r="681" spans="1:72" x14ac:dyDescent="0.15">
      <c r="A681" t="s">
        <v>72</v>
      </c>
      <c r="B681" t="s">
        <v>9751</v>
      </c>
      <c r="C681" t="s">
        <v>74</v>
      </c>
      <c r="D681" t="s">
        <v>74</v>
      </c>
      <c r="E681" t="s">
        <v>74</v>
      </c>
      <c r="F681" t="s">
        <v>9751</v>
      </c>
      <c r="G681" t="s">
        <v>74</v>
      </c>
      <c r="H681" t="s">
        <v>74</v>
      </c>
      <c r="I681" t="s">
        <v>9752</v>
      </c>
      <c r="J681" t="s">
        <v>9732</v>
      </c>
      <c r="K681" t="s">
        <v>74</v>
      </c>
      <c r="L681" t="s">
        <v>74</v>
      </c>
      <c r="M681" t="s">
        <v>77</v>
      </c>
      <c r="N681" t="s">
        <v>159</v>
      </c>
      <c r="O681" t="s">
        <v>9733</v>
      </c>
      <c r="P681" t="s">
        <v>9734</v>
      </c>
      <c r="Q681" t="s">
        <v>9735</v>
      </c>
      <c r="R681" t="s">
        <v>74</v>
      </c>
      <c r="S681" t="s">
        <v>74</v>
      </c>
      <c r="T681" t="s">
        <v>74</v>
      </c>
      <c r="U681" t="s">
        <v>9753</v>
      </c>
      <c r="V681" t="s">
        <v>9754</v>
      </c>
      <c r="W681" t="s">
        <v>9755</v>
      </c>
      <c r="X681" t="s">
        <v>9756</v>
      </c>
      <c r="Y681" t="s">
        <v>9740</v>
      </c>
      <c r="Z681" t="s">
        <v>74</v>
      </c>
      <c r="AA681" t="s">
        <v>9757</v>
      </c>
      <c r="AB681" t="s">
        <v>9758</v>
      </c>
      <c r="AC681" t="s">
        <v>74</v>
      </c>
      <c r="AD681" t="s">
        <v>74</v>
      </c>
      <c r="AE681" t="s">
        <v>74</v>
      </c>
      <c r="AF681" t="s">
        <v>74</v>
      </c>
      <c r="AG681">
        <v>21</v>
      </c>
      <c r="AH681">
        <v>48</v>
      </c>
      <c r="AI681">
        <v>53</v>
      </c>
      <c r="AJ681">
        <v>0</v>
      </c>
      <c r="AK681">
        <v>1</v>
      </c>
      <c r="AL681" t="s">
        <v>110</v>
      </c>
      <c r="AM681" t="s">
        <v>111</v>
      </c>
      <c r="AN681" t="s">
        <v>112</v>
      </c>
      <c r="AO681" t="s">
        <v>9743</v>
      </c>
      <c r="AP681" t="s">
        <v>9744</v>
      </c>
      <c r="AQ681" t="s">
        <v>74</v>
      </c>
      <c r="AR681" t="s">
        <v>9745</v>
      </c>
      <c r="AS681" t="s">
        <v>9746</v>
      </c>
      <c r="AT681" t="s">
        <v>9181</v>
      </c>
      <c r="AU681">
        <v>2003</v>
      </c>
      <c r="AV681">
        <v>118</v>
      </c>
      <c r="AW681" t="s">
        <v>74</v>
      </c>
      <c r="AX681" t="s">
        <v>74</v>
      </c>
      <c r="AY681" t="s">
        <v>74</v>
      </c>
      <c r="AZ681" t="s">
        <v>74</v>
      </c>
      <c r="BA681" t="s">
        <v>74</v>
      </c>
      <c r="BB681">
        <v>388</v>
      </c>
      <c r="BC681">
        <v>395</v>
      </c>
      <c r="BD681" t="s">
        <v>74</v>
      </c>
      <c r="BE681" t="s">
        <v>9759</v>
      </c>
      <c r="BF681" t="str">
        <f>HYPERLINK("http://dx.doi.org/10.1016/S0920-5632(03)01337-9","http://dx.doi.org/10.1016/S0920-5632(03)01337-9")</f>
        <v>http://dx.doi.org/10.1016/S0920-5632(03)01337-9</v>
      </c>
      <c r="BG681" t="s">
        <v>74</v>
      </c>
      <c r="BH681" t="s">
        <v>74</v>
      </c>
      <c r="BI681">
        <v>8</v>
      </c>
      <c r="BJ681" t="s">
        <v>9748</v>
      </c>
      <c r="BK681" t="s">
        <v>177</v>
      </c>
      <c r="BL681" t="s">
        <v>429</v>
      </c>
      <c r="BM681" t="s">
        <v>9749</v>
      </c>
      <c r="BN681" t="s">
        <v>74</v>
      </c>
      <c r="BO681" t="s">
        <v>1767</v>
      </c>
      <c r="BP681" t="s">
        <v>74</v>
      </c>
      <c r="BQ681" t="s">
        <v>74</v>
      </c>
      <c r="BR681" t="s">
        <v>97</v>
      </c>
      <c r="BS681" t="s">
        <v>9760</v>
      </c>
      <c r="BT681" t="str">
        <f>HYPERLINK("https%3A%2F%2Fwww.webofscience.com%2Fwos%2Fwoscc%2Ffull-record%2FWOS:000182799400041","View Full Record in Web of Science")</f>
        <v>View Full Record in Web of Science</v>
      </c>
    </row>
    <row r="682" spans="1:72" x14ac:dyDescent="0.15">
      <c r="A682" t="s">
        <v>72</v>
      </c>
      <c r="B682" t="s">
        <v>9761</v>
      </c>
      <c r="C682" t="s">
        <v>74</v>
      </c>
      <c r="D682" t="s">
        <v>74</v>
      </c>
      <c r="E682" t="s">
        <v>74</v>
      </c>
      <c r="F682" t="s">
        <v>9761</v>
      </c>
      <c r="G682" t="s">
        <v>74</v>
      </c>
      <c r="H682" t="s">
        <v>74</v>
      </c>
      <c r="I682" t="s">
        <v>9762</v>
      </c>
      <c r="J682" t="s">
        <v>9763</v>
      </c>
      <c r="K682" t="s">
        <v>74</v>
      </c>
      <c r="L682" t="s">
        <v>74</v>
      </c>
      <c r="M682" t="s">
        <v>77</v>
      </c>
      <c r="N682" t="s">
        <v>78</v>
      </c>
      <c r="O682" t="s">
        <v>74</v>
      </c>
      <c r="P682" t="s">
        <v>74</v>
      </c>
      <c r="Q682" t="s">
        <v>74</v>
      </c>
      <c r="R682" t="s">
        <v>74</v>
      </c>
      <c r="S682" t="s">
        <v>74</v>
      </c>
      <c r="T682" t="s">
        <v>9764</v>
      </c>
      <c r="U682" t="s">
        <v>74</v>
      </c>
      <c r="V682" t="s">
        <v>9765</v>
      </c>
      <c r="W682" t="s">
        <v>9766</v>
      </c>
      <c r="X682" t="s">
        <v>9767</v>
      </c>
      <c r="Y682" t="s">
        <v>9768</v>
      </c>
      <c r="Z682" t="s">
        <v>9769</v>
      </c>
      <c r="AA682" t="s">
        <v>74</v>
      </c>
      <c r="AB682" t="s">
        <v>74</v>
      </c>
      <c r="AC682" t="s">
        <v>74</v>
      </c>
      <c r="AD682" t="s">
        <v>74</v>
      </c>
      <c r="AE682" t="s">
        <v>74</v>
      </c>
      <c r="AF682" t="s">
        <v>74</v>
      </c>
      <c r="AG682">
        <v>76</v>
      </c>
      <c r="AH682">
        <v>18</v>
      </c>
      <c r="AI682">
        <v>19</v>
      </c>
      <c r="AJ682">
        <v>0</v>
      </c>
      <c r="AK682">
        <v>17</v>
      </c>
      <c r="AL682" t="s">
        <v>1833</v>
      </c>
      <c r="AM682" t="s">
        <v>1834</v>
      </c>
      <c r="AN682" t="s">
        <v>1835</v>
      </c>
      <c r="AO682" t="s">
        <v>9770</v>
      </c>
      <c r="AP682" t="s">
        <v>9771</v>
      </c>
      <c r="AQ682" t="s">
        <v>74</v>
      </c>
      <c r="AR682" t="s">
        <v>9772</v>
      </c>
      <c r="AS682" t="s">
        <v>9773</v>
      </c>
      <c r="AT682" t="s">
        <v>9466</v>
      </c>
      <c r="AU682">
        <v>2003</v>
      </c>
      <c r="AV682">
        <v>34</v>
      </c>
      <c r="AW682">
        <v>2</v>
      </c>
      <c r="AX682" t="s">
        <v>74</v>
      </c>
      <c r="AY682" t="s">
        <v>74</v>
      </c>
      <c r="AZ682" t="s">
        <v>74</v>
      </c>
      <c r="BA682" t="s">
        <v>74</v>
      </c>
      <c r="BB682">
        <v>105</v>
      </c>
      <c r="BC682">
        <v>137</v>
      </c>
      <c r="BD682" t="s">
        <v>74</v>
      </c>
      <c r="BE682" t="s">
        <v>9774</v>
      </c>
      <c r="BF682" t="str">
        <f>HYPERLINK("http://dx.doi.org/10.1080/00908320390209609","http://dx.doi.org/10.1080/00908320390209609")</f>
        <v>http://dx.doi.org/10.1080/00908320390209609</v>
      </c>
      <c r="BG682" t="s">
        <v>74</v>
      </c>
      <c r="BH682" t="s">
        <v>74</v>
      </c>
      <c r="BI682">
        <v>33</v>
      </c>
      <c r="BJ682" t="s">
        <v>9775</v>
      </c>
      <c r="BK682" t="s">
        <v>7200</v>
      </c>
      <c r="BL682" t="s">
        <v>9776</v>
      </c>
      <c r="BM682" t="s">
        <v>9777</v>
      </c>
      <c r="BN682" t="s">
        <v>74</v>
      </c>
      <c r="BO682" t="s">
        <v>74</v>
      </c>
      <c r="BP682" t="s">
        <v>74</v>
      </c>
      <c r="BQ682" t="s">
        <v>74</v>
      </c>
      <c r="BR682" t="s">
        <v>97</v>
      </c>
      <c r="BS682" t="s">
        <v>9778</v>
      </c>
      <c r="BT682" t="str">
        <f>HYPERLINK("https%3A%2F%2Fwww.webofscience.com%2Fwos%2Fwoscc%2Ffull-record%2FWOS:000182544700001","View Full Record in Web of Science")</f>
        <v>View Full Record in Web of Science</v>
      </c>
    </row>
    <row r="683" spans="1:72" x14ac:dyDescent="0.15">
      <c r="A683" t="s">
        <v>72</v>
      </c>
      <c r="B683" t="s">
        <v>9779</v>
      </c>
      <c r="C683" t="s">
        <v>74</v>
      </c>
      <c r="D683" t="s">
        <v>74</v>
      </c>
      <c r="E683" t="s">
        <v>74</v>
      </c>
      <c r="F683" t="s">
        <v>9779</v>
      </c>
      <c r="G683" t="s">
        <v>74</v>
      </c>
      <c r="H683" t="s">
        <v>74</v>
      </c>
      <c r="I683" t="s">
        <v>9780</v>
      </c>
      <c r="J683" t="s">
        <v>9763</v>
      </c>
      <c r="K683" t="s">
        <v>74</v>
      </c>
      <c r="L683" t="s">
        <v>74</v>
      </c>
      <c r="M683" t="s">
        <v>77</v>
      </c>
      <c r="N683" t="s">
        <v>78</v>
      </c>
      <c r="O683" t="s">
        <v>74</v>
      </c>
      <c r="P683" t="s">
        <v>74</v>
      </c>
      <c r="Q683" t="s">
        <v>74</v>
      </c>
      <c r="R683" t="s">
        <v>74</v>
      </c>
      <c r="S683" t="s">
        <v>74</v>
      </c>
      <c r="T683" t="s">
        <v>9781</v>
      </c>
      <c r="U683" t="s">
        <v>74</v>
      </c>
      <c r="V683" t="s">
        <v>9782</v>
      </c>
      <c r="W683" t="s">
        <v>9783</v>
      </c>
      <c r="X683" t="s">
        <v>9784</v>
      </c>
      <c r="Y683" t="s">
        <v>9785</v>
      </c>
      <c r="Z683" t="s">
        <v>9786</v>
      </c>
      <c r="AA683" t="s">
        <v>74</v>
      </c>
      <c r="AB683" t="s">
        <v>74</v>
      </c>
      <c r="AC683" t="s">
        <v>74</v>
      </c>
      <c r="AD683" t="s">
        <v>74</v>
      </c>
      <c r="AE683" t="s">
        <v>74</v>
      </c>
      <c r="AF683" t="s">
        <v>74</v>
      </c>
      <c r="AG683">
        <v>39</v>
      </c>
      <c r="AH683">
        <v>5</v>
      </c>
      <c r="AI683">
        <v>7</v>
      </c>
      <c r="AJ683">
        <v>0</v>
      </c>
      <c r="AK683">
        <v>11</v>
      </c>
      <c r="AL683" t="s">
        <v>1833</v>
      </c>
      <c r="AM683" t="s">
        <v>1834</v>
      </c>
      <c r="AN683" t="s">
        <v>1835</v>
      </c>
      <c r="AO683" t="s">
        <v>9770</v>
      </c>
      <c r="AP683" t="s">
        <v>9771</v>
      </c>
      <c r="AQ683" t="s">
        <v>74</v>
      </c>
      <c r="AR683" t="s">
        <v>9772</v>
      </c>
      <c r="AS683" t="s">
        <v>9773</v>
      </c>
      <c r="AT683" t="s">
        <v>9466</v>
      </c>
      <c r="AU683">
        <v>2003</v>
      </c>
      <c r="AV683">
        <v>34</v>
      </c>
      <c r="AW683">
        <v>2</v>
      </c>
      <c r="AX683" t="s">
        <v>74</v>
      </c>
      <c r="AY683" t="s">
        <v>74</v>
      </c>
      <c r="AZ683" t="s">
        <v>74</v>
      </c>
      <c r="BA683" t="s">
        <v>74</v>
      </c>
      <c r="BB683">
        <v>139</v>
      </c>
      <c r="BC683">
        <v>159</v>
      </c>
      <c r="BD683" t="s">
        <v>74</v>
      </c>
      <c r="BE683" t="s">
        <v>9787</v>
      </c>
      <c r="BF683" t="str">
        <f>HYPERLINK("http://dx.doi.org/10.1080/00908320390209618","http://dx.doi.org/10.1080/00908320390209618")</f>
        <v>http://dx.doi.org/10.1080/00908320390209618</v>
      </c>
      <c r="BG683" t="s">
        <v>74</v>
      </c>
      <c r="BH683" t="s">
        <v>74</v>
      </c>
      <c r="BI683">
        <v>21</v>
      </c>
      <c r="BJ683" t="s">
        <v>9775</v>
      </c>
      <c r="BK683" t="s">
        <v>7200</v>
      </c>
      <c r="BL683" t="s">
        <v>9776</v>
      </c>
      <c r="BM683" t="s">
        <v>9777</v>
      </c>
      <c r="BN683" t="s">
        <v>74</v>
      </c>
      <c r="BO683" t="s">
        <v>74</v>
      </c>
      <c r="BP683" t="s">
        <v>74</v>
      </c>
      <c r="BQ683" t="s">
        <v>74</v>
      </c>
      <c r="BR683" t="s">
        <v>97</v>
      </c>
      <c r="BS683" t="s">
        <v>9788</v>
      </c>
      <c r="BT683" t="str">
        <f>HYPERLINK("https%3A%2F%2Fwww.webofscience.com%2Fwos%2Fwoscc%2Ffull-record%2FWOS:000182544700002","View Full Record in Web of Science")</f>
        <v>View Full Record in Web of Science</v>
      </c>
    </row>
    <row r="684" spans="1:72" x14ac:dyDescent="0.15">
      <c r="A684" t="s">
        <v>72</v>
      </c>
      <c r="B684" t="s">
        <v>9789</v>
      </c>
      <c r="C684" t="s">
        <v>74</v>
      </c>
      <c r="D684" t="s">
        <v>74</v>
      </c>
      <c r="E684" t="s">
        <v>74</v>
      </c>
      <c r="F684" t="s">
        <v>9789</v>
      </c>
      <c r="G684" t="s">
        <v>74</v>
      </c>
      <c r="H684" t="s">
        <v>74</v>
      </c>
      <c r="I684" t="s">
        <v>9790</v>
      </c>
      <c r="J684" t="s">
        <v>316</v>
      </c>
      <c r="K684" t="s">
        <v>74</v>
      </c>
      <c r="L684" t="s">
        <v>74</v>
      </c>
      <c r="M684" t="s">
        <v>77</v>
      </c>
      <c r="N684" t="s">
        <v>78</v>
      </c>
      <c r="O684" t="s">
        <v>74</v>
      </c>
      <c r="P684" t="s">
        <v>74</v>
      </c>
      <c r="Q684" t="s">
        <v>74</v>
      </c>
      <c r="R684" t="s">
        <v>74</v>
      </c>
      <c r="S684" t="s">
        <v>74</v>
      </c>
      <c r="T684" t="s">
        <v>74</v>
      </c>
      <c r="U684" t="s">
        <v>9791</v>
      </c>
      <c r="V684" t="s">
        <v>9792</v>
      </c>
      <c r="W684" t="s">
        <v>9793</v>
      </c>
      <c r="X684" t="s">
        <v>9794</v>
      </c>
      <c r="Y684" t="s">
        <v>9795</v>
      </c>
      <c r="Z684" t="s">
        <v>74</v>
      </c>
      <c r="AA684" t="s">
        <v>74</v>
      </c>
      <c r="AB684" t="s">
        <v>9796</v>
      </c>
      <c r="AC684" t="s">
        <v>74</v>
      </c>
      <c r="AD684" t="s">
        <v>74</v>
      </c>
      <c r="AE684" t="s">
        <v>74</v>
      </c>
      <c r="AF684" t="s">
        <v>74</v>
      </c>
      <c r="AG684">
        <v>20</v>
      </c>
      <c r="AH684">
        <v>25</v>
      </c>
      <c r="AI684">
        <v>26</v>
      </c>
      <c r="AJ684">
        <v>0</v>
      </c>
      <c r="AK684">
        <v>1</v>
      </c>
      <c r="AL684" t="s">
        <v>342</v>
      </c>
      <c r="AM684" t="s">
        <v>229</v>
      </c>
      <c r="AN684" t="s">
        <v>343</v>
      </c>
      <c r="AO684" t="s">
        <v>324</v>
      </c>
      <c r="AP684" t="s">
        <v>74</v>
      </c>
      <c r="AQ684" t="s">
        <v>74</v>
      </c>
      <c r="AR684" t="s">
        <v>326</v>
      </c>
      <c r="AS684" t="s">
        <v>327</v>
      </c>
      <c r="AT684" t="s">
        <v>9181</v>
      </c>
      <c r="AU684">
        <v>2003</v>
      </c>
      <c r="AV684">
        <v>26</v>
      </c>
      <c r="AW684">
        <v>4</v>
      </c>
      <c r="AX684" t="s">
        <v>74</v>
      </c>
      <c r="AY684" t="s">
        <v>74</v>
      </c>
      <c r="AZ684" t="s">
        <v>74</v>
      </c>
      <c r="BA684" t="s">
        <v>74</v>
      </c>
      <c r="BB684">
        <v>219</v>
      </c>
      <c r="BC684">
        <v>224</v>
      </c>
      <c r="BD684" t="s">
        <v>74</v>
      </c>
      <c r="BE684" t="s">
        <v>9797</v>
      </c>
      <c r="BF684" t="str">
        <f>HYPERLINK("http://dx.doi.org/10.1007/s00300-003-0478-z","http://dx.doi.org/10.1007/s00300-003-0478-z")</f>
        <v>http://dx.doi.org/10.1007/s00300-003-0478-z</v>
      </c>
      <c r="BG684" t="s">
        <v>74</v>
      </c>
      <c r="BH684" t="s">
        <v>74</v>
      </c>
      <c r="BI684">
        <v>6</v>
      </c>
      <c r="BJ684" t="s">
        <v>329</v>
      </c>
      <c r="BK684" t="s">
        <v>94</v>
      </c>
      <c r="BL684" t="s">
        <v>330</v>
      </c>
      <c r="BM684" t="s">
        <v>9798</v>
      </c>
      <c r="BN684" t="s">
        <v>74</v>
      </c>
      <c r="BO684" t="s">
        <v>74</v>
      </c>
      <c r="BP684" t="s">
        <v>74</v>
      </c>
      <c r="BQ684" t="s">
        <v>74</v>
      </c>
      <c r="BR684" t="s">
        <v>97</v>
      </c>
      <c r="BS684" t="s">
        <v>9799</v>
      </c>
      <c r="BT684" t="str">
        <f>HYPERLINK("https%3A%2F%2Fwww.webofscience.com%2Fwos%2Fwoscc%2Ffull-record%2FWOS:000182464900001","View Full Record in Web of Science")</f>
        <v>View Full Record in Web of Science</v>
      </c>
    </row>
    <row r="685" spans="1:72" x14ac:dyDescent="0.15">
      <c r="A685" t="s">
        <v>72</v>
      </c>
      <c r="B685" t="s">
        <v>9800</v>
      </c>
      <c r="C685" t="s">
        <v>74</v>
      </c>
      <c r="D685" t="s">
        <v>74</v>
      </c>
      <c r="E685" t="s">
        <v>74</v>
      </c>
      <c r="F685" t="s">
        <v>9800</v>
      </c>
      <c r="G685" t="s">
        <v>74</v>
      </c>
      <c r="H685" t="s">
        <v>74</v>
      </c>
      <c r="I685" t="s">
        <v>9801</v>
      </c>
      <c r="J685" t="s">
        <v>316</v>
      </c>
      <c r="K685" t="s">
        <v>74</v>
      </c>
      <c r="L685" t="s">
        <v>74</v>
      </c>
      <c r="M685" t="s">
        <v>77</v>
      </c>
      <c r="N685" t="s">
        <v>78</v>
      </c>
      <c r="O685" t="s">
        <v>74</v>
      </c>
      <c r="P685" t="s">
        <v>74</v>
      </c>
      <c r="Q685" t="s">
        <v>74</v>
      </c>
      <c r="R685" t="s">
        <v>74</v>
      </c>
      <c r="S685" t="s">
        <v>74</v>
      </c>
      <c r="T685" t="s">
        <v>74</v>
      </c>
      <c r="U685" t="s">
        <v>9802</v>
      </c>
      <c r="V685" t="s">
        <v>9803</v>
      </c>
      <c r="W685" t="s">
        <v>9804</v>
      </c>
      <c r="X685" t="s">
        <v>9805</v>
      </c>
      <c r="Y685" t="s">
        <v>9806</v>
      </c>
      <c r="Z685" t="s">
        <v>74</v>
      </c>
      <c r="AA685" t="s">
        <v>9807</v>
      </c>
      <c r="AB685" t="s">
        <v>9808</v>
      </c>
      <c r="AC685" t="s">
        <v>74</v>
      </c>
      <c r="AD685" t="s">
        <v>74</v>
      </c>
      <c r="AE685" t="s">
        <v>74</v>
      </c>
      <c r="AF685" t="s">
        <v>74</v>
      </c>
      <c r="AG685">
        <v>38</v>
      </c>
      <c r="AH685">
        <v>30</v>
      </c>
      <c r="AI685">
        <v>33</v>
      </c>
      <c r="AJ685">
        <v>2</v>
      </c>
      <c r="AK685">
        <v>17</v>
      </c>
      <c r="AL685" t="s">
        <v>342</v>
      </c>
      <c r="AM685" t="s">
        <v>229</v>
      </c>
      <c r="AN685" t="s">
        <v>343</v>
      </c>
      <c r="AO685" t="s">
        <v>324</v>
      </c>
      <c r="AP685" t="s">
        <v>74</v>
      </c>
      <c r="AQ685" t="s">
        <v>74</v>
      </c>
      <c r="AR685" t="s">
        <v>326</v>
      </c>
      <c r="AS685" t="s">
        <v>327</v>
      </c>
      <c r="AT685" t="s">
        <v>9181</v>
      </c>
      <c r="AU685">
        <v>2003</v>
      </c>
      <c r="AV685">
        <v>26</v>
      </c>
      <c r="AW685">
        <v>4</v>
      </c>
      <c r="AX685" t="s">
        <v>74</v>
      </c>
      <c r="AY685" t="s">
        <v>74</v>
      </c>
      <c r="AZ685" t="s">
        <v>74</v>
      </c>
      <c r="BA685" t="s">
        <v>74</v>
      </c>
      <c r="BB685">
        <v>225</v>
      </c>
      <c r="BC685">
        <v>232</v>
      </c>
      <c r="BD685" t="s">
        <v>74</v>
      </c>
      <c r="BE685" t="s">
        <v>9809</v>
      </c>
      <c r="BF685" t="str">
        <f>HYPERLINK("http://dx.doi.org/10.1007/s00300-003-0480-5","http://dx.doi.org/10.1007/s00300-003-0480-5")</f>
        <v>http://dx.doi.org/10.1007/s00300-003-0480-5</v>
      </c>
      <c r="BG685" t="s">
        <v>74</v>
      </c>
      <c r="BH685" t="s">
        <v>74</v>
      </c>
      <c r="BI685">
        <v>8</v>
      </c>
      <c r="BJ685" t="s">
        <v>329</v>
      </c>
      <c r="BK685" t="s">
        <v>94</v>
      </c>
      <c r="BL685" t="s">
        <v>330</v>
      </c>
      <c r="BM685" t="s">
        <v>9798</v>
      </c>
      <c r="BN685" t="s">
        <v>74</v>
      </c>
      <c r="BO685" t="s">
        <v>74</v>
      </c>
      <c r="BP685" t="s">
        <v>74</v>
      </c>
      <c r="BQ685" t="s">
        <v>74</v>
      </c>
      <c r="BR685" t="s">
        <v>97</v>
      </c>
      <c r="BS685" t="s">
        <v>9810</v>
      </c>
      <c r="BT685" t="str">
        <f>HYPERLINK("https%3A%2F%2Fwww.webofscience.com%2Fwos%2Fwoscc%2Ffull-record%2FWOS:000182464900002","View Full Record in Web of Science")</f>
        <v>View Full Record in Web of Science</v>
      </c>
    </row>
    <row r="686" spans="1:72" x14ac:dyDescent="0.15">
      <c r="A686" t="s">
        <v>72</v>
      </c>
      <c r="B686" t="s">
        <v>9811</v>
      </c>
      <c r="C686" t="s">
        <v>74</v>
      </c>
      <c r="D686" t="s">
        <v>74</v>
      </c>
      <c r="E686" t="s">
        <v>74</v>
      </c>
      <c r="F686" t="s">
        <v>9811</v>
      </c>
      <c r="G686" t="s">
        <v>74</v>
      </c>
      <c r="H686" t="s">
        <v>74</v>
      </c>
      <c r="I686" t="s">
        <v>9812</v>
      </c>
      <c r="J686" t="s">
        <v>316</v>
      </c>
      <c r="K686" t="s">
        <v>74</v>
      </c>
      <c r="L686" t="s">
        <v>74</v>
      </c>
      <c r="M686" t="s">
        <v>77</v>
      </c>
      <c r="N686" t="s">
        <v>78</v>
      </c>
      <c r="O686" t="s">
        <v>74</v>
      </c>
      <c r="P686" t="s">
        <v>74</v>
      </c>
      <c r="Q686" t="s">
        <v>74</v>
      </c>
      <c r="R686" t="s">
        <v>74</v>
      </c>
      <c r="S686" t="s">
        <v>74</v>
      </c>
      <c r="T686" t="s">
        <v>74</v>
      </c>
      <c r="U686" t="s">
        <v>9813</v>
      </c>
      <c r="V686" t="s">
        <v>9814</v>
      </c>
      <c r="W686" t="s">
        <v>9815</v>
      </c>
      <c r="X686" t="s">
        <v>371</v>
      </c>
      <c r="Y686" t="s">
        <v>9816</v>
      </c>
      <c r="Z686" t="s">
        <v>74</v>
      </c>
      <c r="AA686" t="s">
        <v>74</v>
      </c>
      <c r="AB686" t="s">
        <v>74</v>
      </c>
      <c r="AC686" t="s">
        <v>74</v>
      </c>
      <c r="AD686" t="s">
        <v>74</v>
      </c>
      <c r="AE686" t="s">
        <v>74</v>
      </c>
      <c r="AF686" t="s">
        <v>74</v>
      </c>
      <c r="AG686">
        <v>27</v>
      </c>
      <c r="AH686">
        <v>7</v>
      </c>
      <c r="AI686">
        <v>7</v>
      </c>
      <c r="AJ686">
        <v>0</v>
      </c>
      <c r="AK686">
        <v>2</v>
      </c>
      <c r="AL686" t="s">
        <v>342</v>
      </c>
      <c r="AM686" t="s">
        <v>229</v>
      </c>
      <c r="AN686" t="s">
        <v>343</v>
      </c>
      <c r="AO686" t="s">
        <v>324</v>
      </c>
      <c r="AP686" t="s">
        <v>74</v>
      </c>
      <c r="AQ686" t="s">
        <v>74</v>
      </c>
      <c r="AR686" t="s">
        <v>326</v>
      </c>
      <c r="AS686" t="s">
        <v>327</v>
      </c>
      <c r="AT686" t="s">
        <v>9181</v>
      </c>
      <c r="AU686">
        <v>2003</v>
      </c>
      <c r="AV686">
        <v>26</v>
      </c>
      <c r="AW686">
        <v>4</v>
      </c>
      <c r="AX686" t="s">
        <v>74</v>
      </c>
      <c r="AY686" t="s">
        <v>74</v>
      </c>
      <c r="AZ686" t="s">
        <v>74</v>
      </c>
      <c r="BA686" t="s">
        <v>74</v>
      </c>
      <c r="BB686">
        <v>242</v>
      </c>
      <c r="BC686">
        <v>248</v>
      </c>
      <c r="BD686" t="s">
        <v>74</v>
      </c>
      <c r="BE686" t="s">
        <v>9817</v>
      </c>
      <c r="BF686" t="str">
        <f>HYPERLINK("http://dx.doi.org/10.1007/s00300-002-0469-5","http://dx.doi.org/10.1007/s00300-002-0469-5")</f>
        <v>http://dx.doi.org/10.1007/s00300-002-0469-5</v>
      </c>
      <c r="BG686" t="s">
        <v>74</v>
      </c>
      <c r="BH686" t="s">
        <v>74</v>
      </c>
      <c r="BI686">
        <v>7</v>
      </c>
      <c r="BJ686" t="s">
        <v>329</v>
      </c>
      <c r="BK686" t="s">
        <v>94</v>
      </c>
      <c r="BL686" t="s">
        <v>330</v>
      </c>
      <c r="BM686" t="s">
        <v>9798</v>
      </c>
      <c r="BN686" t="s">
        <v>74</v>
      </c>
      <c r="BO686" t="s">
        <v>3263</v>
      </c>
      <c r="BP686" t="s">
        <v>74</v>
      </c>
      <c r="BQ686" t="s">
        <v>74</v>
      </c>
      <c r="BR686" t="s">
        <v>97</v>
      </c>
      <c r="BS686" t="s">
        <v>9818</v>
      </c>
      <c r="BT686" t="str">
        <f>HYPERLINK("https%3A%2F%2Fwww.webofscience.com%2Fwos%2Fwoscc%2Ffull-record%2FWOS:000182464900004","View Full Record in Web of Science")</f>
        <v>View Full Record in Web of Science</v>
      </c>
    </row>
    <row r="687" spans="1:72" x14ac:dyDescent="0.15">
      <c r="A687" t="s">
        <v>72</v>
      </c>
      <c r="B687" t="s">
        <v>9819</v>
      </c>
      <c r="C687" t="s">
        <v>74</v>
      </c>
      <c r="D687" t="s">
        <v>74</v>
      </c>
      <c r="E687" t="s">
        <v>74</v>
      </c>
      <c r="F687" t="s">
        <v>9819</v>
      </c>
      <c r="G687" t="s">
        <v>74</v>
      </c>
      <c r="H687" t="s">
        <v>74</v>
      </c>
      <c r="I687" t="s">
        <v>9820</v>
      </c>
      <c r="J687" t="s">
        <v>316</v>
      </c>
      <c r="K687" t="s">
        <v>74</v>
      </c>
      <c r="L687" t="s">
        <v>74</v>
      </c>
      <c r="M687" t="s">
        <v>77</v>
      </c>
      <c r="N687" t="s">
        <v>78</v>
      </c>
      <c r="O687" t="s">
        <v>74</v>
      </c>
      <c r="P687" t="s">
        <v>74</v>
      </c>
      <c r="Q687" t="s">
        <v>74</v>
      </c>
      <c r="R687" t="s">
        <v>74</v>
      </c>
      <c r="S687" t="s">
        <v>74</v>
      </c>
      <c r="T687" t="s">
        <v>74</v>
      </c>
      <c r="U687" t="s">
        <v>9821</v>
      </c>
      <c r="V687" t="s">
        <v>9822</v>
      </c>
      <c r="W687" t="s">
        <v>9823</v>
      </c>
      <c r="X687" t="s">
        <v>9824</v>
      </c>
      <c r="Y687" t="s">
        <v>9825</v>
      </c>
      <c r="Z687" t="s">
        <v>9826</v>
      </c>
      <c r="AA687" t="s">
        <v>9827</v>
      </c>
      <c r="AB687" t="s">
        <v>9828</v>
      </c>
      <c r="AC687" t="s">
        <v>74</v>
      </c>
      <c r="AD687" t="s">
        <v>74</v>
      </c>
      <c r="AE687" t="s">
        <v>74</v>
      </c>
      <c r="AF687" t="s">
        <v>74</v>
      </c>
      <c r="AG687">
        <v>44</v>
      </c>
      <c r="AH687">
        <v>25</v>
      </c>
      <c r="AI687">
        <v>27</v>
      </c>
      <c r="AJ687">
        <v>1</v>
      </c>
      <c r="AK687">
        <v>7</v>
      </c>
      <c r="AL687" t="s">
        <v>207</v>
      </c>
      <c r="AM687" t="s">
        <v>229</v>
      </c>
      <c r="AN687" t="s">
        <v>323</v>
      </c>
      <c r="AO687" t="s">
        <v>324</v>
      </c>
      <c r="AP687" t="s">
        <v>325</v>
      </c>
      <c r="AQ687" t="s">
        <v>74</v>
      </c>
      <c r="AR687" t="s">
        <v>326</v>
      </c>
      <c r="AS687" t="s">
        <v>327</v>
      </c>
      <c r="AT687" t="s">
        <v>9181</v>
      </c>
      <c r="AU687">
        <v>2003</v>
      </c>
      <c r="AV687">
        <v>26</v>
      </c>
      <c r="AW687">
        <v>4</v>
      </c>
      <c r="AX687" t="s">
        <v>74</v>
      </c>
      <c r="AY687" t="s">
        <v>74</v>
      </c>
      <c r="AZ687" t="s">
        <v>74</v>
      </c>
      <c r="BA687" t="s">
        <v>74</v>
      </c>
      <c r="BB687">
        <v>268</v>
      </c>
      <c r="BC687">
        <v>275</v>
      </c>
      <c r="BD687" t="s">
        <v>74</v>
      </c>
      <c r="BE687" t="s">
        <v>9829</v>
      </c>
      <c r="BF687" t="str">
        <f>HYPERLINK("http://dx.doi.org/10.1007/s00300-002-0472-x","http://dx.doi.org/10.1007/s00300-002-0472-x")</f>
        <v>http://dx.doi.org/10.1007/s00300-002-0472-x</v>
      </c>
      <c r="BG687" t="s">
        <v>74</v>
      </c>
      <c r="BH687" t="s">
        <v>74</v>
      </c>
      <c r="BI687">
        <v>8</v>
      </c>
      <c r="BJ687" t="s">
        <v>329</v>
      </c>
      <c r="BK687" t="s">
        <v>94</v>
      </c>
      <c r="BL687" t="s">
        <v>330</v>
      </c>
      <c r="BM687" t="s">
        <v>9798</v>
      </c>
      <c r="BN687" t="s">
        <v>74</v>
      </c>
      <c r="BO687" t="s">
        <v>74</v>
      </c>
      <c r="BP687" t="s">
        <v>74</v>
      </c>
      <c r="BQ687" t="s">
        <v>74</v>
      </c>
      <c r="BR687" t="s">
        <v>97</v>
      </c>
      <c r="BS687" t="s">
        <v>9830</v>
      </c>
      <c r="BT687" t="str">
        <f>HYPERLINK("https%3A%2F%2Fwww.webofscience.com%2Fwos%2Fwoscc%2Ffull-record%2FWOS:000182464900007","View Full Record in Web of Science")</f>
        <v>View Full Record in Web of Science</v>
      </c>
    </row>
    <row r="688" spans="1:72" x14ac:dyDescent="0.15">
      <c r="A688" t="s">
        <v>72</v>
      </c>
      <c r="B688" t="s">
        <v>9831</v>
      </c>
      <c r="C688" t="s">
        <v>74</v>
      </c>
      <c r="D688" t="s">
        <v>74</v>
      </c>
      <c r="E688" t="s">
        <v>74</v>
      </c>
      <c r="F688" t="s">
        <v>9831</v>
      </c>
      <c r="G688" t="s">
        <v>74</v>
      </c>
      <c r="H688" t="s">
        <v>74</v>
      </c>
      <c r="I688" t="s">
        <v>9832</v>
      </c>
      <c r="J688" t="s">
        <v>316</v>
      </c>
      <c r="K688" t="s">
        <v>74</v>
      </c>
      <c r="L688" t="s">
        <v>74</v>
      </c>
      <c r="M688" t="s">
        <v>77</v>
      </c>
      <c r="N688" t="s">
        <v>78</v>
      </c>
      <c r="O688" t="s">
        <v>74</v>
      </c>
      <c r="P688" t="s">
        <v>74</v>
      </c>
      <c r="Q688" t="s">
        <v>74</v>
      </c>
      <c r="R688" t="s">
        <v>74</v>
      </c>
      <c r="S688" t="s">
        <v>74</v>
      </c>
      <c r="T688" t="s">
        <v>74</v>
      </c>
      <c r="U688" t="s">
        <v>9833</v>
      </c>
      <c r="V688" t="s">
        <v>9834</v>
      </c>
      <c r="W688" t="s">
        <v>5299</v>
      </c>
      <c r="X688" t="s">
        <v>371</v>
      </c>
      <c r="Y688" t="s">
        <v>9835</v>
      </c>
      <c r="Z688" t="s">
        <v>74</v>
      </c>
      <c r="AA688" t="s">
        <v>74</v>
      </c>
      <c r="AB688" t="s">
        <v>9836</v>
      </c>
      <c r="AC688" t="s">
        <v>74</v>
      </c>
      <c r="AD688" t="s">
        <v>74</v>
      </c>
      <c r="AE688" t="s">
        <v>74</v>
      </c>
      <c r="AF688" t="s">
        <v>74</v>
      </c>
      <c r="AG688">
        <v>19</v>
      </c>
      <c r="AH688">
        <v>20</v>
      </c>
      <c r="AI688">
        <v>21</v>
      </c>
      <c r="AJ688">
        <v>0</v>
      </c>
      <c r="AK688">
        <v>7</v>
      </c>
      <c r="AL688" t="s">
        <v>342</v>
      </c>
      <c r="AM688" t="s">
        <v>229</v>
      </c>
      <c r="AN688" t="s">
        <v>343</v>
      </c>
      <c r="AO688" t="s">
        <v>324</v>
      </c>
      <c r="AP688" t="s">
        <v>74</v>
      </c>
      <c r="AQ688" t="s">
        <v>74</v>
      </c>
      <c r="AR688" t="s">
        <v>326</v>
      </c>
      <c r="AS688" t="s">
        <v>327</v>
      </c>
      <c r="AT688" t="s">
        <v>9181</v>
      </c>
      <c r="AU688">
        <v>2003</v>
      </c>
      <c r="AV688">
        <v>26</v>
      </c>
      <c r="AW688">
        <v>4</v>
      </c>
      <c r="AX688" t="s">
        <v>74</v>
      </c>
      <c r="AY688" t="s">
        <v>74</v>
      </c>
      <c r="AZ688" t="s">
        <v>74</v>
      </c>
      <c r="BA688" t="s">
        <v>74</v>
      </c>
      <c r="BB688">
        <v>276</v>
      </c>
      <c r="BC688">
        <v>278</v>
      </c>
      <c r="BD688" t="s">
        <v>74</v>
      </c>
      <c r="BE688" t="s">
        <v>9837</v>
      </c>
      <c r="BF688" t="str">
        <f>HYPERLINK("http://dx.doi.org/10.1007/s00300-002-0468-6","http://dx.doi.org/10.1007/s00300-002-0468-6")</f>
        <v>http://dx.doi.org/10.1007/s00300-002-0468-6</v>
      </c>
      <c r="BG688" t="s">
        <v>74</v>
      </c>
      <c r="BH688" t="s">
        <v>74</v>
      </c>
      <c r="BI688">
        <v>3</v>
      </c>
      <c r="BJ688" t="s">
        <v>329</v>
      </c>
      <c r="BK688" t="s">
        <v>94</v>
      </c>
      <c r="BL688" t="s">
        <v>330</v>
      </c>
      <c r="BM688" t="s">
        <v>9798</v>
      </c>
      <c r="BN688" t="s">
        <v>74</v>
      </c>
      <c r="BO688" t="s">
        <v>1767</v>
      </c>
      <c r="BP688" t="s">
        <v>74</v>
      </c>
      <c r="BQ688" t="s">
        <v>74</v>
      </c>
      <c r="BR688" t="s">
        <v>97</v>
      </c>
      <c r="BS688" t="s">
        <v>9838</v>
      </c>
      <c r="BT688" t="str">
        <f>HYPERLINK("https%3A%2F%2Fwww.webofscience.com%2Fwos%2Fwoscc%2Ffull-record%2FWOS:000182464900008","View Full Record in Web of Science")</f>
        <v>View Full Record in Web of Science</v>
      </c>
    </row>
    <row r="689" spans="1:72" x14ac:dyDescent="0.15">
      <c r="A689" t="s">
        <v>72</v>
      </c>
      <c r="B689" t="s">
        <v>9839</v>
      </c>
      <c r="C689" t="s">
        <v>74</v>
      </c>
      <c r="D689" t="s">
        <v>74</v>
      </c>
      <c r="E689" t="s">
        <v>74</v>
      </c>
      <c r="F689" t="s">
        <v>9839</v>
      </c>
      <c r="G689" t="s">
        <v>74</v>
      </c>
      <c r="H689" t="s">
        <v>74</v>
      </c>
      <c r="I689" t="s">
        <v>9840</v>
      </c>
      <c r="J689" t="s">
        <v>316</v>
      </c>
      <c r="K689" t="s">
        <v>74</v>
      </c>
      <c r="L689" t="s">
        <v>74</v>
      </c>
      <c r="M689" t="s">
        <v>77</v>
      </c>
      <c r="N689" t="s">
        <v>78</v>
      </c>
      <c r="O689" t="s">
        <v>74</v>
      </c>
      <c r="P689" t="s">
        <v>74</v>
      </c>
      <c r="Q689" t="s">
        <v>74</v>
      </c>
      <c r="R689" t="s">
        <v>74</v>
      </c>
      <c r="S689" t="s">
        <v>74</v>
      </c>
      <c r="T689" t="s">
        <v>74</v>
      </c>
      <c r="U689" t="s">
        <v>7207</v>
      </c>
      <c r="V689" t="s">
        <v>9841</v>
      </c>
      <c r="W689" t="s">
        <v>9842</v>
      </c>
      <c r="X689" t="s">
        <v>371</v>
      </c>
      <c r="Y689" t="s">
        <v>9843</v>
      </c>
      <c r="Z689" t="s">
        <v>74</v>
      </c>
      <c r="AA689" t="s">
        <v>9844</v>
      </c>
      <c r="AB689" t="s">
        <v>9845</v>
      </c>
      <c r="AC689" t="s">
        <v>74</v>
      </c>
      <c r="AD689" t="s">
        <v>74</v>
      </c>
      <c r="AE689" t="s">
        <v>74</v>
      </c>
      <c r="AF689" t="s">
        <v>74</v>
      </c>
      <c r="AG689">
        <v>29</v>
      </c>
      <c r="AH689">
        <v>69</v>
      </c>
      <c r="AI689">
        <v>75</v>
      </c>
      <c r="AJ689">
        <v>0</v>
      </c>
      <c r="AK689">
        <v>10</v>
      </c>
      <c r="AL689" t="s">
        <v>342</v>
      </c>
      <c r="AM689" t="s">
        <v>229</v>
      </c>
      <c r="AN689" t="s">
        <v>343</v>
      </c>
      <c r="AO689" t="s">
        <v>324</v>
      </c>
      <c r="AP689" t="s">
        <v>74</v>
      </c>
      <c r="AQ689" t="s">
        <v>74</v>
      </c>
      <c r="AR689" t="s">
        <v>326</v>
      </c>
      <c r="AS689" t="s">
        <v>327</v>
      </c>
      <c r="AT689" t="s">
        <v>9181</v>
      </c>
      <c r="AU689">
        <v>2003</v>
      </c>
      <c r="AV689">
        <v>26</v>
      </c>
      <c r="AW689">
        <v>4</v>
      </c>
      <c r="AX689" t="s">
        <v>74</v>
      </c>
      <c r="AY689" t="s">
        <v>74</v>
      </c>
      <c r="AZ689" t="s">
        <v>74</v>
      </c>
      <c r="BA689" t="s">
        <v>74</v>
      </c>
      <c r="BB689">
        <v>279</v>
      </c>
      <c r="BC689">
        <v>282</v>
      </c>
      <c r="BD689" t="s">
        <v>74</v>
      </c>
      <c r="BE689" t="s">
        <v>9846</v>
      </c>
      <c r="BF689" t="str">
        <f>HYPERLINK("http://dx.doi.org/10.1007/s00300-002-0476-6","http://dx.doi.org/10.1007/s00300-002-0476-6")</f>
        <v>http://dx.doi.org/10.1007/s00300-002-0476-6</v>
      </c>
      <c r="BG689" t="s">
        <v>74</v>
      </c>
      <c r="BH689" t="s">
        <v>74</v>
      </c>
      <c r="BI689">
        <v>4</v>
      </c>
      <c r="BJ689" t="s">
        <v>329</v>
      </c>
      <c r="BK689" t="s">
        <v>94</v>
      </c>
      <c r="BL689" t="s">
        <v>330</v>
      </c>
      <c r="BM689" t="s">
        <v>9798</v>
      </c>
      <c r="BN689" t="s">
        <v>74</v>
      </c>
      <c r="BO689" t="s">
        <v>3263</v>
      </c>
      <c r="BP689" t="s">
        <v>74</v>
      </c>
      <c r="BQ689" t="s">
        <v>74</v>
      </c>
      <c r="BR689" t="s">
        <v>97</v>
      </c>
      <c r="BS689" t="s">
        <v>9847</v>
      </c>
      <c r="BT689" t="str">
        <f>HYPERLINK("https%3A%2F%2Fwww.webofscience.com%2Fwos%2Fwoscc%2Ffull-record%2FWOS:000182464900009","View Full Record in Web of Science")</f>
        <v>View Full Record in Web of Science</v>
      </c>
    </row>
    <row r="690" spans="1:72" x14ac:dyDescent="0.15">
      <c r="A690" t="s">
        <v>72</v>
      </c>
      <c r="B690" t="s">
        <v>9848</v>
      </c>
      <c r="C690" t="s">
        <v>74</v>
      </c>
      <c r="D690" t="s">
        <v>74</v>
      </c>
      <c r="E690" t="s">
        <v>74</v>
      </c>
      <c r="F690" t="s">
        <v>9848</v>
      </c>
      <c r="G690" t="s">
        <v>74</v>
      </c>
      <c r="H690" t="s">
        <v>74</v>
      </c>
      <c r="I690" t="s">
        <v>9849</v>
      </c>
      <c r="J690" t="s">
        <v>316</v>
      </c>
      <c r="K690" t="s">
        <v>74</v>
      </c>
      <c r="L690" t="s">
        <v>74</v>
      </c>
      <c r="M690" t="s">
        <v>77</v>
      </c>
      <c r="N690" t="s">
        <v>78</v>
      </c>
      <c r="O690" t="s">
        <v>74</v>
      </c>
      <c r="P690" t="s">
        <v>74</v>
      </c>
      <c r="Q690" t="s">
        <v>74</v>
      </c>
      <c r="R690" t="s">
        <v>74</v>
      </c>
      <c r="S690" t="s">
        <v>74</v>
      </c>
      <c r="T690" t="s">
        <v>74</v>
      </c>
      <c r="U690" t="s">
        <v>74</v>
      </c>
      <c r="V690" t="s">
        <v>74</v>
      </c>
      <c r="W690" t="s">
        <v>9850</v>
      </c>
      <c r="X690" t="s">
        <v>9851</v>
      </c>
      <c r="Y690" t="s">
        <v>9852</v>
      </c>
      <c r="Z690" t="s">
        <v>74</v>
      </c>
      <c r="AA690" t="s">
        <v>7003</v>
      </c>
      <c r="AB690" t="s">
        <v>9853</v>
      </c>
      <c r="AC690" t="s">
        <v>74</v>
      </c>
      <c r="AD690" t="s">
        <v>74</v>
      </c>
      <c r="AE690" t="s">
        <v>74</v>
      </c>
      <c r="AF690" t="s">
        <v>74</v>
      </c>
      <c r="AG690">
        <v>20</v>
      </c>
      <c r="AH690">
        <v>7</v>
      </c>
      <c r="AI690">
        <v>8</v>
      </c>
      <c r="AJ690">
        <v>0</v>
      </c>
      <c r="AK690">
        <v>3</v>
      </c>
      <c r="AL690" t="s">
        <v>342</v>
      </c>
      <c r="AM690" t="s">
        <v>229</v>
      </c>
      <c r="AN690" t="s">
        <v>343</v>
      </c>
      <c r="AO690" t="s">
        <v>324</v>
      </c>
      <c r="AP690" t="s">
        <v>74</v>
      </c>
      <c r="AQ690" t="s">
        <v>74</v>
      </c>
      <c r="AR690" t="s">
        <v>326</v>
      </c>
      <c r="AS690" t="s">
        <v>327</v>
      </c>
      <c r="AT690" t="s">
        <v>9181</v>
      </c>
      <c r="AU690">
        <v>2003</v>
      </c>
      <c r="AV690">
        <v>26</v>
      </c>
      <c r="AW690">
        <v>4</v>
      </c>
      <c r="AX690" t="s">
        <v>74</v>
      </c>
      <c r="AY690" t="s">
        <v>74</v>
      </c>
      <c r="AZ690" t="s">
        <v>74</v>
      </c>
      <c r="BA690" t="s">
        <v>74</v>
      </c>
      <c r="BB690">
        <v>283</v>
      </c>
      <c r="BC690">
        <v>285</v>
      </c>
      <c r="BD690" t="s">
        <v>74</v>
      </c>
      <c r="BE690" t="s">
        <v>9854</v>
      </c>
      <c r="BF690" t="str">
        <f>HYPERLINK("http://dx.doi.org/10.1007/s00300-002-0475-7","http://dx.doi.org/10.1007/s00300-002-0475-7")</f>
        <v>http://dx.doi.org/10.1007/s00300-002-0475-7</v>
      </c>
      <c r="BG690" t="s">
        <v>74</v>
      </c>
      <c r="BH690" t="s">
        <v>74</v>
      </c>
      <c r="BI690">
        <v>3</v>
      </c>
      <c r="BJ690" t="s">
        <v>329</v>
      </c>
      <c r="BK690" t="s">
        <v>94</v>
      </c>
      <c r="BL690" t="s">
        <v>330</v>
      </c>
      <c r="BM690" t="s">
        <v>9798</v>
      </c>
      <c r="BN690" t="s">
        <v>74</v>
      </c>
      <c r="BO690" t="s">
        <v>74</v>
      </c>
      <c r="BP690" t="s">
        <v>74</v>
      </c>
      <c r="BQ690" t="s">
        <v>74</v>
      </c>
      <c r="BR690" t="s">
        <v>97</v>
      </c>
      <c r="BS690" t="s">
        <v>9855</v>
      </c>
      <c r="BT690" t="str">
        <f>HYPERLINK("https%3A%2F%2Fwww.webofscience.com%2Fwos%2Fwoscc%2Ffull-record%2FWOS:000182464900010","View Full Record in Web of Science")</f>
        <v>View Full Record in Web of Science</v>
      </c>
    </row>
    <row r="691" spans="1:72" x14ac:dyDescent="0.15">
      <c r="A691" t="s">
        <v>72</v>
      </c>
      <c r="B691" t="s">
        <v>5503</v>
      </c>
      <c r="C691" t="s">
        <v>74</v>
      </c>
      <c r="D691" t="s">
        <v>74</v>
      </c>
      <c r="E691" t="s">
        <v>74</v>
      </c>
      <c r="F691" t="s">
        <v>5503</v>
      </c>
      <c r="G691" t="s">
        <v>74</v>
      </c>
      <c r="H691" t="s">
        <v>74</v>
      </c>
      <c r="I691" t="s">
        <v>9856</v>
      </c>
      <c r="J691" t="s">
        <v>9857</v>
      </c>
      <c r="K691" t="s">
        <v>74</v>
      </c>
      <c r="L691" t="s">
        <v>74</v>
      </c>
      <c r="M691" t="s">
        <v>77</v>
      </c>
      <c r="N691" t="s">
        <v>78</v>
      </c>
      <c r="O691" t="s">
        <v>74</v>
      </c>
      <c r="P691" t="s">
        <v>74</v>
      </c>
      <c r="Q691" t="s">
        <v>74</v>
      </c>
      <c r="R691" t="s">
        <v>74</v>
      </c>
      <c r="S691" t="s">
        <v>74</v>
      </c>
      <c r="T691" t="s">
        <v>9858</v>
      </c>
      <c r="U691" t="s">
        <v>9859</v>
      </c>
      <c r="V691" t="s">
        <v>9860</v>
      </c>
      <c r="W691" t="s">
        <v>9861</v>
      </c>
      <c r="X691" t="s">
        <v>9862</v>
      </c>
      <c r="Y691" t="s">
        <v>9863</v>
      </c>
      <c r="Z691" t="s">
        <v>74</v>
      </c>
      <c r="AA691" t="s">
        <v>5511</v>
      </c>
      <c r="AB691" t="s">
        <v>5512</v>
      </c>
      <c r="AC691" t="s">
        <v>74</v>
      </c>
      <c r="AD691" t="s">
        <v>74</v>
      </c>
      <c r="AE691" t="s">
        <v>74</v>
      </c>
      <c r="AF691" t="s">
        <v>74</v>
      </c>
      <c r="AG691">
        <v>37</v>
      </c>
      <c r="AH691">
        <v>15</v>
      </c>
      <c r="AI691">
        <v>16</v>
      </c>
      <c r="AJ691">
        <v>0</v>
      </c>
      <c r="AK691">
        <v>12</v>
      </c>
      <c r="AL691" t="s">
        <v>6467</v>
      </c>
      <c r="AM691" t="s">
        <v>520</v>
      </c>
      <c r="AN691" t="s">
        <v>6468</v>
      </c>
      <c r="AO691" t="s">
        <v>9864</v>
      </c>
      <c r="AP691" t="s">
        <v>74</v>
      </c>
      <c r="AQ691" t="s">
        <v>74</v>
      </c>
      <c r="AR691" t="s">
        <v>9865</v>
      </c>
      <c r="AS691" t="s">
        <v>9866</v>
      </c>
      <c r="AT691" t="s">
        <v>9181</v>
      </c>
      <c r="AU691">
        <v>2003</v>
      </c>
      <c r="AV691">
        <v>45</v>
      </c>
      <c r="AW691">
        <v>1</v>
      </c>
      <c r="AX691" t="s">
        <v>74</v>
      </c>
      <c r="AY691" t="s">
        <v>74</v>
      </c>
      <c r="AZ691" t="s">
        <v>74</v>
      </c>
      <c r="BA691" t="s">
        <v>74</v>
      </c>
      <c r="BB691">
        <v>19</v>
      </c>
      <c r="BC691">
        <v>24</v>
      </c>
      <c r="BD691" t="s">
        <v>74</v>
      </c>
      <c r="BE691" t="s">
        <v>9867</v>
      </c>
      <c r="BF691" t="str">
        <f>HYPERLINK("http://dx.doi.org/10.1007/s10144-003-0135-y","http://dx.doi.org/10.1007/s10144-003-0135-y")</f>
        <v>http://dx.doi.org/10.1007/s10144-003-0135-y</v>
      </c>
      <c r="BG691" t="s">
        <v>74</v>
      </c>
      <c r="BH691" t="s">
        <v>74</v>
      </c>
      <c r="BI691">
        <v>6</v>
      </c>
      <c r="BJ691" t="s">
        <v>3535</v>
      </c>
      <c r="BK691" t="s">
        <v>94</v>
      </c>
      <c r="BL691" t="s">
        <v>2512</v>
      </c>
      <c r="BM691" t="s">
        <v>9868</v>
      </c>
      <c r="BN691" t="s">
        <v>74</v>
      </c>
      <c r="BO691" t="s">
        <v>74</v>
      </c>
      <c r="BP691" t="s">
        <v>74</v>
      </c>
      <c r="BQ691" t="s">
        <v>74</v>
      </c>
      <c r="BR691" t="s">
        <v>97</v>
      </c>
      <c r="BS691" t="s">
        <v>9869</v>
      </c>
      <c r="BT691" t="str">
        <f>HYPERLINK("https%3A%2F%2Fwww.webofscience.com%2Fwos%2Fwoscc%2Ffull-record%2FWOS:000183869600003","View Full Record in Web of Science")</f>
        <v>View Full Record in Web of Science</v>
      </c>
    </row>
    <row r="692" spans="1:72" x14ac:dyDescent="0.15">
      <c r="A692" t="s">
        <v>72</v>
      </c>
      <c r="B692" t="s">
        <v>9870</v>
      </c>
      <c r="C692" t="s">
        <v>74</v>
      </c>
      <c r="D692" t="s">
        <v>74</v>
      </c>
      <c r="E692" t="s">
        <v>74</v>
      </c>
      <c r="F692" t="s">
        <v>9870</v>
      </c>
      <c r="G692" t="s">
        <v>74</v>
      </c>
      <c r="H692" t="s">
        <v>74</v>
      </c>
      <c r="I692" t="s">
        <v>9871</v>
      </c>
      <c r="J692" t="s">
        <v>434</v>
      </c>
      <c r="K692" t="s">
        <v>74</v>
      </c>
      <c r="L692" t="s">
        <v>74</v>
      </c>
      <c r="M692" t="s">
        <v>77</v>
      </c>
      <c r="N692" t="s">
        <v>78</v>
      </c>
      <c r="O692" t="s">
        <v>74</v>
      </c>
      <c r="P692" t="s">
        <v>74</v>
      </c>
      <c r="Q692" t="s">
        <v>74</v>
      </c>
      <c r="R692" t="s">
        <v>74</v>
      </c>
      <c r="S692" t="s">
        <v>74</v>
      </c>
      <c r="T692" t="s">
        <v>9872</v>
      </c>
      <c r="U692" t="s">
        <v>9873</v>
      </c>
      <c r="V692" t="s">
        <v>9874</v>
      </c>
      <c r="W692" t="s">
        <v>705</v>
      </c>
      <c r="X692" t="s">
        <v>706</v>
      </c>
      <c r="Y692" t="s">
        <v>9875</v>
      </c>
      <c r="Z692" t="s">
        <v>9876</v>
      </c>
      <c r="AA692" t="s">
        <v>74</v>
      </c>
      <c r="AB692" t="s">
        <v>74</v>
      </c>
      <c r="AC692" t="s">
        <v>74</v>
      </c>
      <c r="AD692" t="s">
        <v>74</v>
      </c>
      <c r="AE692" t="s">
        <v>74</v>
      </c>
      <c r="AF692" t="s">
        <v>74</v>
      </c>
      <c r="AG692">
        <v>29</v>
      </c>
      <c r="AH692">
        <v>8</v>
      </c>
      <c r="AI692">
        <v>8</v>
      </c>
      <c r="AJ692">
        <v>0</v>
      </c>
      <c r="AK692">
        <v>3</v>
      </c>
      <c r="AL692" t="s">
        <v>250</v>
      </c>
      <c r="AM692" t="s">
        <v>251</v>
      </c>
      <c r="AN692" t="s">
        <v>252</v>
      </c>
      <c r="AO692" t="s">
        <v>444</v>
      </c>
      <c r="AP692" t="s">
        <v>5676</v>
      </c>
      <c r="AQ692" t="s">
        <v>74</v>
      </c>
      <c r="AR692" t="s">
        <v>445</v>
      </c>
      <c r="AS692" t="s">
        <v>446</v>
      </c>
      <c r="AT692" t="s">
        <v>9181</v>
      </c>
      <c r="AU692">
        <v>2003</v>
      </c>
      <c r="AV692">
        <v>129</v>
      </c>
      <c r="AW692">
        <v>591</v>
      </c>
      <c r="AX692" t="s">
        <v>5677</v>
      </c>
      <c r="AY692" t="s">
        <v>74</v>
      </c>
      <c r="AZ692" t="s">
        <v>74</v>
      </c>
      <c r="BA692" t="s">
        <v>74</v>
      </c>
      <c r="BB692">
        <v>1745</v>
      </c>
      <c r="BC692">
        <v>1759</v>
      </c>
      <c r="BD692" t="s">
        <v>74</v>
      </c>
      <c r="BE692" t="s">
        <v>9877</v>
      </c>
      <c r="BF692" t="str">
        <f>HYPERLINK("http://dx.doi.org/10.1256/qj.02.173","http://dx.doi.org/10.1256/qj.02.173")</f>
        <v>http://dx.doi.org/10.1256/qj.02.173</v>
      </c>
      <c r="BG692" t="s">
        <v>74</v>
      </c>
      <c r="BH692" t="s">
        <v>74</v>
      </c>
      <c r="BI692">
        <v>15</v>
      </c>
      <c r="BJ692" t="s">
        <v>93</v>
      </c>
      <c r="BK692" t="s">
        <v>94</v>
      </c>
      <c r="BL692" t="s">
        <v>93</v>
      </c>
      <c r="BM692" t="s">
        <v>9878</v>
      </c>
      <c r="BN692" t="s">
        <v>74</v>
      </c>
      <c r="BO692" t="s">
        <v>74</v>
      </c>
      <c r="BP692" t="s">
        <v>74</v>
      </c>
      <c r="BQ692" t="s">
        <v>74</v>
      </c>
      <c r="BR692" t="s">
        <v>97</v>
      </c>
      <c r="BS692" t="s">
        <v>9879</v>
      </c>
      <c r="BT692" t="str">
        <f>HYPERLINK("https%3A%2F%2Fwww.webofscience.com%2Fwos%2Fwoscc%2Ffull-record%2FWOS:000183686100001","View Full Record in Web of Science")</f>
        <v>View Full Record in Web of Science</v>
      </c>
    </row>
    <row r="693" spans="1:72" x14ac:dyDescent="0.15">
      <c r="A693" t="s">
        <v>72</v>
      </c>
      <c r="B693" t="s">
        <v>9880</v>
      </c>
      <c r="C693" t="s">
        <v>74</v>
      </c>
      <c r="D693" t="s">
        <v>74</v>
      </c>
      <c r="E693" t="s">
        <v>74</v>
      </c>
      <c r="F693" t="s">
        <v>9880</v>
      </c>
      <c r="G693" t="s">
        <v>74</v>
      </c>
      <c r="H693" t="s">
        <v>74</v>
      </c>
      <c r="I693" t="s">
        <v>9881</v>
      </c>
      <c r="J693" t="s">
        <v>434</v>
      </c>
      <c r="K693" t="s">
        <v>74</v>
      </c>
      <c r="L693" t="s">
        <v>74</v>
      </c>
      <c r="M693" t="s">
        <v>77</v>
      </c>
      <c r="N693" t="s">
        <v>78</v>
      </c>
      <c r="O693" t="s">
        <v>74</v>
      </c>
      <c r="P693" t="s">
        <v>74</v>
      </c>
      <c r="Q693" t="s">
        <v>74</v>
      </c>
      <c r="R693" t="s">
        <v>74</v>
      </c>
      <c r="S693" t="s">
        <v>74</v>
      </c>
      <c r="T693" t="s">
        <v>9882</v>
      </c>
      <c r="U693" t="s">
        <v>9883</v>
      </c>
      <c r="V693" t="s">
        <v>9884</v>
      </c>
      <c r="W693" t="s">
        <v>9885</v>
      </c>
      <c r="X693" t="s">
        <v>9886</v>
      </c>
      <c r="Y693" t="s">
        <v>9887</v>
      </c>
      <c r="Z693" t="s">
        <v>9888</v>
      </c>
      <c r="AA693" t="s">
        <v>9889</v>
      </c>
      <c r="AB693" t="s">
        <v>74</v>
      </c>
      <c r="AC693" t="s">
        <v>74</v>
      </c>
      <c r="AD693" t="s">
        <v>74</v>
      </c>
      <c r="AE693" t="s">
        <v>74</v>
      </c>
      <c r="AF693" t="s">
        <v>74</v>
      </c>
      <c r="AG693">
        <v>12</v>
      </c>
      <c r="AH693">
        <v>1</v>
      </c>
      <c r="AI693">
        <v>2</v>
      </c>
      <c r="AJ693">
        <v>0</v>
      </c>
      <c r="AK693">
        <v>1</v>
      </c>
      <c r="AL693" t="s">
        <v>250</v>
      </c>
      <c r="AM693" t="s">
        <v>251</v>
      </c>
      <c r="AN693" t="s">
        <v>252</v>
      </c>
      <c r="AO693" t="s">
        <v>444</v>
      </c>
      <c r="AP693" t="s">
        <v>5676</v>
      </c>
      <c r="AQ693" t="s">
        <v>74</v>
      </c>
      <c r="AR693" t="s">
        <v>445</v>
      </c>
      <c r="AS693" t="s">
        <v>446</v>
      </c>
      <c r="AT693" t="s">
        <v>9181</v>
      </c>
      <c r="AU693">
        <v>2003</v>
      </c>
      <c r="AV693">
        <v>129</v>
      </c>
      <c r="AW693">
        <v>591</v>
      </c>
      <c r="AX693" t="s">
        <v>5677</v>
      </c>
      <c r="AY693" t="s">
        <v>74</v>
      </c>
      <c r="AZ693" t="s">
        <v>74</v>
      </c>
      <c r="BA693" t="s">
        <v>74</v>
      </c>
      <c r="BB693">
        <v>2011</v>
      </c>
      <c r="BC693">
        <v>2025</v>
      </c>
      <c r="BD693" t="s">
        <v>74</v>
      </c>
      <c r="BE693" t="s">
        <v>9890</v>
      </c>
      <c r="BF693" t="str">
        <f>HYPERLINK("http://dx.doi.org/10.1256/qj.02.157","http://dx.doi.org/10.1256/qj.02.157")</f>
        <v>http://dx.doi.org/10.1256/qj.02.157</v>
      </c>
      <c r="BG693" t="s">
        <v>74</v>
      </c>
      <c r="BH693" t="s">
        <v>74</v>
      </c>
      <c r="BI693">
        <v>15</v>
      </c>
      <c r="BJ693" t="s">
        <v>93</v>
      </c>
      <c r="BK693" t="s">
        <v>94</v>
      </c>
      <c r="BL693" t="s">
        <v>93</v>
      </c>
      <c r="BM693" t="s">
        <v>9878</v>
      </c>
      <c r="BN693" t="s">
        <v>74</v>
      </c>
      <c r="BO693" t="s">
        <v>1767</v>
      </c>
      <c r="BP693" t="s">
        <v>74</v>
      </c>
      <c r="BQ693" t="s">
        <v>74</v>
      </c>
      <c r="BR693" t="s">
        <v>97</v>
      </c>
      <c r="BS693" t="s">
        <v>9891</v>
      </c>
      <c r="BT693" t="str">
        <f>HYPERLINK("https%3A%2F%2Fwww.webofscience.com%2Fwos%2Fwoscc%2Ffull-record%2FWOS:000183686100014","View Full Record in Web of Science")</f>
        <v>View Full Record in Web of Science</v>
      </c>
    </row>
    <row r="694" spans="1:72" x14ac:dyDescent="0.15">
      <c r="A694" t="s">
        <v>72</v>
      </c>
      <c r="B694" t="s">
        <v>9892</v>
      </c>
      <c r="C694" t="s">
        <v>74</v>
      </c>
      <c r="D694" t="s">
        <v>74</v>
      </c>
      <c r="E694" t="s">
        <v>74</v>
      </c>
      <c r="F694" t="s">
        <v>9892</v>
      </c>
      <c r="G694" t="s">
        <v>74</v>
      </c>
      <c r="H694" t="s">
        <v>74</v>
      </c>
      <c r="I694" t="s">
        <v>9893</v>
      </c>
      <c r="J694" t="s">
        <v>7069</v>
      </c>
      <c r="K694" t="s">
        <v>74</v>
      </c>
      <c r="L694" t="s">
        <v>74</v>
      </c>
      <c r="M694" t="s">
        <v>77</v>
      </c>
      <c r="N694" t="s">
        <v>78</v>
      </c>
      <c r="O694" t="s">
        <v>74</v>
      </c>
      <c r="P694" t="s">
        <v>74</v>
      </c>
      <c r="Q694" t="s">
        <v>74</v>
      </c>
      <c r="R694" t="s">
        <v>74</v>
      </c>
      <c r="S694" t="s">
        <v>74</v>
      </c>
      <c r="T694" t="s">
        <v>9894</v>
      </c>
      <c r="U694" t="s">
        <v>9895</v>
      </c>
      <c r="V694" t="s">
        <v>9896</v>
      </c>
      <c r="W694" t="s">
        <v>9897</v>
      </c>
      <c r="X694" t="s">
        <v>9898</v>
      </c>
      <c r="Y694" t="s">
        <v>9899</v>
      </c>
      <c r="Z694" t="s">
        <v>9900</v>
      </c>
      <c r="AA694" t="s">
        <v>9901</v>
      </c>
      <c r="AB694" t="s">
        <v>9902</v>
      </c>
      <c r="AC694" t="s">
        <v>74</v>
      </c>
      <c r="AD694" t="s">
        <v>74</v>
      </c>
      <c r="AE694" t="s">
        <v>74</v>
      </c>
      <c r="AF694" t="s">
        <v>74</v>
      </c>
      <c r="AG694">
        <v>86</v>
      </c>
      <c r="AH694">
        <v>65</v>
      </c>
      <c r="AI694">
        <v>69</v>
      </c>
      <c r="AJ694">
        <v>0</v>
      </c>
      <c r="AK694">
        <v>9</v>
      </c>
      <c r="AL694" t="s">
        <v>781</v>
      </c>
      <c r="AM694" t="s">
        <v>111</v>
      </c>
      <c r="AN694" t="s">
        <v>782</v>
      </c>
      <c r="AO694" t="s">
        <v>7078</v>
      </c>
      <c r="AP694" t="s">
        <v>7079</v>
      </c>
      <c r="AQ694" t="s">
        <v>74</v>
      </c>
      <c r="AR694" t="s">
        <v>7080</v>
      </c>
      <c r="AS694" t="s">
        <v>7081</v>
      </c>
      <c r="AT694" t="s">
        <v>9181</v>
      </c>
      <c r="AU694">
        <v>2003</v>
      </c>
      <c r="AV694">
        <v>124</v>
      </c>
      <c r="AW694" t="s">
        <v>787</v>
      </c>
      <c r="AX694" t="s">
        <v>74</v>
      </c>
      <c r="AY694" t="s">
        <v>74</v>
      </c>
      <c r="AZ694" t="s">
        <v>74</v>
      </c>
      <c r="BA694" t="s">
        <v>74</v>
      </c>
      <c r="BB694">
        <v>9</v>
      </c>
      <c r="BC694">
        <v>27</v>
      </c>
      <c r="BD694" t="s">
        <v>9903</v>
      </c>
      <c r="BE694" t="s">
        <v>9904</v>
      </c>
      <c r="BF694" t="str">
        <f>HYPERLINK("http://dx.doi.org/10.1016/S0034-6667(02)00244-0","http://dx.doi.org/10.1016/S0034-6667(02)00244-0")</f>
        <v>http://dx.doi.org/10.1016/S0034-6667(02)00244-0</v>
      </c>
      <c r="BG694" t="s">
        <v>74</v>
      </c>
      <c r="BH694" t="s">
        <v>74</v>
      </c>
      <c r="BI694">
        <v>19</v>
      </c>
      <c r="BJ694" t="s">
        <v>7083</v>
      </c>
      <c r="BK694" t="s">
        <v>94</v>
      </c>
      <c r="BL694" t="s">
        <v>7083</v>
      </c>
      <c r="BM694" t="s">
        <v>9905</v>
      </c>
      <c r="BN694" t="s">
        <v>74</v>
      </c>
      <c r="BO694" t="s">
        <v>154</v>
      </c>
      <c r="BP694" t="s">
        <v>74</v>
      </c>
      <c r="BQ694" t="s">
        <v>74</v>
      </c>
      <c r="BR694" t="s">
        <v>97</v>
      </c>
      <c r="BS694" t="s">
        <v>9906</v>
      </c>
      <c r="BT694" t="str">
        <f>HYPERLINK("https%3A%2F%2Fwww.webofscience.com%2Fwos%2Fwoscc%2Ffull-record%2FWOS:000182163500002","View Full Record in Web of Science")</f>
        <v>View Full Record in Web of Science</v>
      </c>
    </row>
    <row r="695" spans="1:72" x14ac:dyDescent="0.15">
      <c r="A695" t="s">
        <v>72</v>
      </c>
      <c r="B695" t="s">
        <v>9907</v>
      </c>
      <c r="C695" t="s">
        <v>74</v>
      </c>
      <c r="D695" t="s">
        <v>74</v>
      </c>
      <c r="E695" t="s">
        <v>74</v>
      </c>
      <c r="F695" t="s">
        <v>9907</v>
      </c>
      <c r="G695" t="s">
        <v>74</v>
      </c>
      <c r="H695" t="s">
        <v>74</v>
      </c>
      <c r="I695" t="s">
        <v>9908</v>
      </c>
      <c r="J695" t="s">
        <v>5717</v>
      </c>
      <c r="K695" t="s">
        <v>74</v>
      </c>
      <c r="L695" t="s">
        <v>74</v>
      </c>
      <c r="M695" t="s">
        <v>77</v>
      </c>
      <c r="N695" t="s">
        <v>78</v>
      </c>
      <c r="O695" t="s">
        <v>74</v>
      </c>
      <c r="P695" t="s">
        <v>74</v>
      </c>
      <c r="Q695" t="s">
        <v>74</v>
      </c>
      <c r="R695" t="s">
        <v>74</v>
      </c>
      <c r="S695" t="s">
        <v>74</v>
      </c>
      <c r="T695" t="s">
        <v>9909</v>
      </c>
      <c r="U695" t="s">
        <v>9910</v>
      </c>
      <c r="V695" t="s">
        <v>9911</v>
      </c>
      <c r="W695" t="s">
        <v>9912</v>
      </c>
      <c r="X695" t="s">
        <v>9913</v>
      </c>
      <c r="Y695" t="s">
        <v>9914</v>
      </c>
      <c r="Z695" t="s">
        <v>9915</v>
      </c>
      <c r="AA695" t="s">
        <v>9916</v>
      </c>
      <c r="AB695" t="s">
        <v>74</v>
      </c>
      <c r="AC695" t="s">
        <v>74</v>
      </c>
      <c r="AD695" t="s">
        <v>74</v>
      </c>
      <c r="AE695" t="s">
        <v>74</v>
      </c>
      <c r="AF695" t="s">
        <v>74</v>
      </c>
      <c r="AG695">
        <v>36</v>
      </c>
      <c r="AH695">
        <v>28</v>
      </c>
      <c r="AI695">
        <v>42</v>
      </c>
      <c r="AJ695">
        <v>0</v>
      </c>
      <c r="AK695">
        <v>4</v>
      </c>
      <c r="AL695" t="s">
        <v>4820</v>
      </c>
      <c r="AM695" t="s">
        <v>3370</v>
      </c>
      <c r="AN695" t="s">
        <v>3371</v>
      </c>
      <c r="AO695" t="s">
        <v>5725</v>
      </c>
      <c r="AP695" t="s">
        <v>74</v>
      </c>
      <c r="AQ695" t="s">
        <v>74</v>
      </c>
      <c r="AR695" t="s">
        <v>5726</v>
      </c>
      <c r="AS695" t="s">
        <v>5727</v>
      </c>
      <c r="AT695" t="s">
        <v>9181</v>
      </c>
      <c r="AU695">
        <v>2003</v>
      </c>
      <c r="AV695">
        <v>46</v>
      </c>
      <c r="AW695">
        <v>4</v>
      </c>
      <c r="AX695" t="s">
        <v>74</v>
      </c>
      <c r="AY695" t="s">
        <v>74</v>
      </c>
      <c r="AZ695" t="s">
        <v>74</v>
      </c>
      <c r="BA695" t="s">
        <v>74</v>
      </c>
      <c r="BB695">
        <v>305</v>
      </c>
      <c r="BC695">
        <v>319</v>
      </c>
      <c r="BD695" t="s">
        <v>74</v>
      </c>
      <c r="BE695" t="s">
        <v>74</v>
      </c>
      <c r="BF695" t="s">
        <v>74</v>
      </c>
      <c r="BG695" t="s">
        <v>74</v>
      </c>
      <c r="BH695" t="s">
        <v>74</v>
      </c>
      <c r="BI695">
        <v>15</v>
      </c>
      <c r="BJ695" t="s">
        <v>548</v>
      </c>
      <c r="BK695" t="s">
        <v>94</v>
      </c>
      <c r="BL695" t="s">
        <v>549</v>
      </c>
      <c r="BM695" t="s">
        <v>9917</v>
      </c>
      <c r="BN695" t="s">
        <v>74</v>
      </c>
      <c r="BO695" t="s">
        <v>74</v>
      </c>
      <c r="BP695" t="s">
        <v>74</v>
      </c>
      <c r="BQ695" t="s">
        <v>74</v>
      </c>
      <c r="BR695" t="s">
        <v>97</v>
      </c>
      <c r="BS695" t="s">
        <v>9918</v>
      </c>
      <c r="BT695" t="str">
        <f>HYPERLINK("https%3A%2F%2Fwww.webofscience.com%2Fwos%2Fwoscc%2Ffull-record%2FWOS:000181791400001","View Full Record in Web of Science")</f>
        <v>View Full Record in Web of Science</v>
      </c>
    </row>
    <row r="696" spans="1:72" x14ac:dyDescent="0.15">
      <c r="A696" t="s">
        <v>72</v>
      </c>
      <c r="B696" t="s">
        <v>9919</v>
      </c>
      <c r="C696" t="s">
        <v>74</v>
      </c>
      <c r="D696" t="s">
        <v>74</v>
      </c>
      <c r="E696" t="s">
        <v>74</v>
      </c>
      <c r="F696" t="s">
        <v>9919</v>
      </c>
      <c r="G696" t="s">
        <v>74</v>
      </c>
      <c r="H696" t="s">
        <v>74</v>
      </c>
      <c r="I696" t="s">
        <v>9920</v>
      </c>
      <c r="J696" t="s">
        <v>9921</v>
      </c>
      <c r="K696" t="s">
        <v>74</v>
      </c>
      <c r="L696" t="s">
        <v>74</v>
      </c>
      <c r="M696" t="s">
        <v>77</v>
      </c>
      <c r="N696" t="s">
        <v>78</v>
      </c>
      <c r="O696" t="s">
        <v>74</v>
      </c>
      <c r="P696" t="s">
        <v>74</v>
      </c>
      <c r="Q696" t="s">
        <v>74</v>
      </c>
      <c r="R696" t="s">
        <v>74</v>
      </c>
      <c r="S696" t="s">
        <v>74</v>
      </c>
      <c r="T696" t="s">
        <v>9922</v>
      </c>
      <c r="U696" t="s">
        <v>9923</v>
      </c>
      <c r="V696" t="s">
        <v>9924</v>
      </c>
      <c r="W696" t="s">
        <v>9925</v>
      </c>
      <c r="X696" t="s">
        <v>9926</v>
      </c>
      <c r="Y696" t="s">
        <v>6367</v>
      </c>
      <c r="Z696" t="s">
        <v>9927</v>
      </c>
      <c r="AA696" t="s">
        <v>9928</v>
      </c>
      <c r="AB696" t="s">
        <v>9929</v>
      </c>
      <c r="AC696" t="s">
        <v>74</v>
      </c>
      <c r="AD696" t="s">
        <v>74</v>
      </c>
      <c r="AE696" t="s">
        <v>74</v>
      </c>
      <c r="AF696" t="s">
        <v>74</v>
      </c>
      <c r="AG696">
        <v>44</v>
      </c>
      <c r="AH696">
        <v>39</v>
      </c>
      <c r="AI696">
        <v>43</v>
      </c>
      <c r="AJ696">
        <v>0</v>
      </c>
      <c r="AK696">
        <v>6</v>
      </c>
      <c r="AL696" t="s">
        <v>9930</v>
      </c>
      <c r="AM696" t="s">
        <v>132</v>
      </c>
      <c r="AN696" t="s">
        <v>9931</v>
      </c>
      <c r="AO696" t="s">
        <v>9932</v>
      </c>
      <c r="AP696" t="s">
        <v>9933</v>
      </c>
      <c r="AQ696" t="s">
        <v>74</v>
      </c>
      <c r="AR696" t="s">
        <v>9921</v>
      </c>
      <c r="AS696" t="s">
        <v>9934</v>
      </c>
      <c r="AT696" t="s">
        <v>9181</v>
      </c>
      <c r="AU696">
        <v>2003</v>
      </c>
      <c r="AV696">
        <v>11</v>
      </c>
      <c r="AW696">
        <v>4</v>
      </c>
      <c r="AX696" t="s">
        <v>74</v>
      </c>
      <c r="AY696" t="s">
        <v>74</v>
      </c>
      <c r="AZ696" t="s">
        <v>74</v>
      </c>
      <c r="BA696" t="s">
        <v>74</v>
      </c>
      <c r="BB696">
        <v>435</v>
      </c>
      <c r="BC696">
        <v>443</v>
      </c>
      <c r="BD696" t="s">
        <v>74</v>
      </c>
      <c r="BE696" t="s">
        <v>9935</v>
      </c>
      <c r="BF696" t="str">
        <f>HYPERLINK("http://dx.doi.org/10.1016/S0969-2126(03)00044-3","http://dx.doi.org/10.1016/S0969-2126(03)00044-3")</f>
        <v>http://dx.doi.org/10.1016/S0969-2126(03)00044-3</v>
      </c>
      <c r="BG696" t="s">
        <v>74</v>
      </c>
      <c r="BH696" t="s">
        <v>74</v>
      </c>
      <c r="BI696">
        <v>9</v>
      </c>
      <c r="BJ696" t="s">
        <v>9936</v>
      </c>
      <c r="BK696" t="s">
        <v>94</v>
      </c>
      <c r="BL696" t="s">
        <v>9936</v>
      </c>
      <c r="BM696" t="s">
        <v>9937</v>
      </c>
      <c r="BN696">
        <v>12679021</v>
      </c>
      <c r="BO696" t="s">
        <v>759</v>
      </c>
      <c r="BP696" t="s">
        <v>74</v>
      </c>
      <c r="BQ696" t="s">
        <v>74</v>
      </c>
      <c r="BR696" t="s">
        <v>97</v>
      </c>
      <c r="BS696" t="s">
        <v>9938</v>
      </c>
      <c r="BT696" t="str">
        <f>HYPERLINK("https%3A%2F%2Fwww.webofscience.com%2Fwos%2Fwoscc%2Ffull-record%2FWOS:000182591400013","View Full Record in Web of Science")</f>
        <v>View Full Record in Web of Science</v>
      </c>
    </row>
    <row r="697" spans="1:72" x14ac:dyDescent="0.15">
      <c r="A697" t="s">
        <v>72</v>
      </c>
      <c r="B697" t="s">
        <v>9939</v>
      </c>
      <c r="C697" t="s">
        <v>74</v>
      </c>
      <c r="D697" t="s">
        <v>74</v>
      </c>
      <c r="E697" t="s">
        <v>74</v>
      </c>
      <c r="F697" t="s">
        <v>9939</v>
      </c>
      <c r="G697" t="s">
        <v>74</v>
      </c>
      <c r="H697" t="s">
        <v>74</v>
      </c>
      <c r="I697" t="s">
        <v>9940</v>
      </c>
      <c r="J697" t="s">
        <v>9941</v>
      </c>
      <c r="K697" t="s">
        <v>74</v>
      </c>
      <c r="L697" t="s">
        <v>74</v>
      </c>
      <c r="M697" t="s">
        <v>77</v>
      </c>
      <c r="N697" t="s">
        <v>159</v>
      </c>
      <c r="O697" t="s">
        <v>9942</v>
      </c>
      <c r="P697" t="s">
        <v>9943</v>
      </c>
      <c r="Q697" t="s">
        <v>9944</v>
      </c>
      <c r="R697" t="s">
        <v>74</v>
      </c>
      <c r="S697" t="s">
        <v>74</v>
      </c>
      <c r="T697" t="s">
        <v>74</v>
      </c>
      <c r="U697" t="s">
        <v>9945</v>
      </c>
      <c r="V697" t="s">
        <v>9946</v>
      </c>
      <c r="W697" t="s">
        <v>9947</v>
      </c>
      <c r="X697" t="s">
        <v>9948</v>
      </c>
      <c r="Y697" t="s">
        <v>9949</v>
      </c>
      <c r="Z697" t="s">
        <v>74</v>
      </c>
      <c r="AA697" t="s">
        <v>9950</v>
      </c>
      <c r="AB697" t="s">
        <v>9951</v>
      </c>
      <c r="AC697" t="s">
        <v>74</v>
      </c>
      <c r="AD697" t="s">
        <v>74</v>
      </c>
      <c r="AE697" t="s">
        <v>74</v>
      </c>
      <c r="AF697" t="s">
        <v>74</v>
      </c>
      <c r="AG697">
        <v>45</v>
      </c>
      <c r="AH697">
        <v>36</v>
      </c>
      <c r="AI697">
        <v>43</v>
      </c>
      <c r="AJ697">
        <v>0</v>
      </c>
      <c r="AK697">
        <v>21</v>
      </c>
      <c r="AL697" t="s">
        <v>5513</v>
      </c>
      <c r="AM697" t="s">
        <v>5514</v>
      </c>
      <c r="AN697" t="s">
        <v>5515</v>
      </c>
      <c r="AO697" t="s">
        <v>9952</v>
      </c>
      <c r="AP697" t="s">
        <v>74</v>
      </c>
      <c r="AQ697" t="s">
        <v>74</v>
      </c>
      <c r="AR697" t="s">
        <v>9953</v>
      </c>
      <c r="AS697" t="s">
        <v>9954</v>
      </c>
      <c r="AT697" t="s">
        <v>9181</v>
      </c>
      <c r="AU697">
        <v>2003</v>
      </c>
      <c r="AV697">
        <v>55</v>
      </c>
      <c r="AW697">
        <v>2</v>
      </c>
      <c r="AX697" t="s">
        <v>74</v>
      </c>
      <c r="AY697" t="s">
        <v>74</v>
      </c>
      <c r="AZ697" t="s">
        <v>74</v>
      </c>
      <c r="BA697" t="s">
        <v>74</v>
      </c>
      <c r="BB697">
        <v>126</v>
      </c>
      <c r="BC697">
        <v>137</v>
      </c>
      <c r="BD697" t="s">
        <v>74</v>
      </c>
      <c r="BE697" t="s">
        <v>9955</v>
      </c>
      <c r="BF697" t="str">
        <f>HYPERLINK("http://dx.doi.org/10.1034/j.1600-0889.2003.00050.x","http://dx.doi.org/10.1034/j.1600-0889.2003.00050.x")</f>
        <v>http://dx.doi.org/10.1034/j.1600-0889.2003.00050.x</v>
      </c>
      <c r="BG697" t="s">
        <v>74</v>
      </c>
      <c r="BH697" t="s">
        <v>74</v>
      </c>
      <c r="BI697">
        <v>12</v>
      </c>
      <c r="BJ697" t="s">
        <v>93</v>
      </c>
      <c r="BK697" t="s">
        <v>854</v>
      </c>
      <c r="BL697" t="s">
        <v>93</v>
      </c>
      <c r="BM697" t="s">
        <v>9956</v>
      </c>
      <c r="BN697" t="s">
        <v>74</v>
      </c>
      <c r="BO697" t="s">
        <v>74</v>
      </c>
      <c r="BP697" t="s">
        <v>74</v>
      </c>
      <c r="BQ697" t="s">
        <v>74</v>
      </c>
      <c r="BR697" t="s">
        <v>97</v>
      </c>
      <c r="BS697" t="s">
        <v>9957</v>
      </c>
      <c r="BT697" t="str">
        <f>HYPERLINK("https%3A%2F%2Fwww.webofscience.com%2Fwos%2Fwoscc%2Ffull-record%2FWOS:000182698400006","View Full Record in Web of Science")</f>
        <v>View Full Record in Web of Science</v>
      </c>
    </row>
    <row r="698" spans="1:72" x14ac:dyDescent="0.15">
      <c r="A698" t="s">
        <v>72</v>
      </c>
      <c r="B698" t="s">
        <v>9958</v>
      </c>
      <c r="C698" t="s">
        <v>74</v>
      </c>
      <c r="D698" t="s">
        <v>74</v>
      </c>
      <c r="E698" t="s">
        <v>74</v>
      </c>
      <c r="F698" t="s">
        <v>9958</v>
      </c>
      <c r="G698" t="s">
        <v>74</v>
      </c>
      <c r="H698" t="s">
        <v>74</v>
      </c>
      <c r="I698" t="s">
        <v>9959</v>
      </c>
      <c r="J698" t="s">
        <v>9941</v>
      </c>
      <c r="K698" t="s">
        <v>74</v>
      </c>
      <c r="L698" t="s">
        <v>74</v>
      </c>
      <c r="M698" t="s">
        <v>77</v>
      </c>
      <c r="N698" t="s">
        <v>159</v>
      </c>
      <c r="O698" t="s">
        <v>9942</v>
      </c>
      <c r="P698" t="s">
        <v>9943</v>
      </c>
      <c r="Q698" t="s">
        <v>9944</v>
      </c>
      <c r="R698" t="s">
        <v>74</v>
      </c>
      <c r="S698" t="s">
        <v>74</v>
      </c>
      <c r="T698" t="s">
        <v>74</v>
      </c>
      <c r="U698" t="s">
        <v>9960</v>
      </c>
      <c r="V698" t="s">
        <v>9961</v>
      </c>
      <c r="W698" t="s">
        <v>9962</v>
      </c>
      <c r="X698" t="s">
        <v>9963</v>
      </c>
      <c r="Y698" t="s">
        <v>9964</v>
      </c>
      <c r="Z698" t="s">
        <v>74</v>
      </c>
      <c r="AA698" t="s">
        <v>9965</v>
      </c>
      <c r="AB698" t="s">
        <v>9966</v>
      </c>
      <c r="AC698" t="s">
        <v>74</v>
      </c>
      <c r="AD698" t="s">
        <v>74</v>
      </c>
      <c r="AE698" t="s">
        <v>74</v>
      </c>
      <c r="AF698" t="s">
        <v>74</v>
      </c>
      <c r="AG698">
        <v>12</v>
      </c>
      <c r="AH698">
        <v>11</v>
      </c>
      <c r="AI698">
        <v>11</v>
      </c>
      <c r="AJ698">
        <v>0</v>
      </c>
      <c r="AK698">
        <v>4</v>
      </c>
      <c r="AL698" t="s">
        <v>5513</v>
      </c>
      <c r="AM698" t="s">
        <v>5514</v>
      </c>
      <c r="AN698" t="s">
        <v>5515</v>
      </c>
      <c r="AO698" t="s">
        <v>9952</v>
      </c>
      <c r="AP698" t="s">
        <v>74</v>
      </c>
      <c r="AQ698" t="s">
        <v>74</v>
      </c>
      <c r="AR698" t="s">
        <v>9953</v>
      </c>
      <c r="AS698" t="s">
        <v>9954</v>
      </c>
      <c r="AT698" t="s">
        <v>9181</v>
      </c>
      <c r="AU698">
        <v>2003</v>
      </c>
      <c r="AV698">
        <v>55</v>
      </c>
      <c r="AW698">
        <v>2</v>
      </c>
      <c r="AX698" t="s">
        <v>74</v>
      </c>
      <c r="AY698" t="s">
        <v>74</v>
      </c>
      <c r="AZ698" t="s">
        <v>74</v>
      </c>
      <c r="BA698" t="s">
        <v>74</v>
      </c>
      <c r="BB698">
        <v>138</v>
      </c>
      <c r="BC698">
        <v>144</v>
      </c>
      <c r="BD698" t="s">
        <v>74</v>
      </c>
      <c r="BE698" t="s">
        <v>9967</v>
      </c>
      <c r="BF698" t="str">
        <f>HYPERLINK("http://dx.doi.org/10.1034/j.1600-0889.2003.01463.x","http://dx.doi.org/10.1034/j.1600-0889.2003.01463.x")</f>
        <v>http://dx.doi.org/10.1034/j.1600-0889.2003.01463.x</v>
      </c>
      <c r="BG698" t="s">
        <v>74</v>
      </c>
      <c r="BH698" t="s">
        <v>74</v>
      </c>
      <c r="BI698">
        <v>7</v>
      </c>
      <c r="BJ698" t="s">
        <v>93</v>
      </c>
      <c r="BK698" t="s">
        <v>854</v>
      </c>
      <c r="BL698" t="s">
        <v>93</v>
      </c>
      <c r="BM698" t="s">
        <v>9956</v>
      </c>
      <c r="BN698" t="s">
        <v>74</v>
      </c>
      <c r="BO698" t="s">
        <v>74</v>
      </c>
      <c r="BP698" t="s">
        <v>74</v>
      </c>
      <c r="BQ698" t="s">
        <v>74</v>
      </c>
      <c r="BR698" t="s">
        <v>97</v>
      </c>
      <c r="BS698" t="s">
        <v>9968</v>
      </c>
      <c r="BT698" t="str">
        <f>HYPERLINK("https%3A%2F%2Fwww.webofscience.com%2Fwos%2Fwoscc%2Ffull-record%2FWOS:000182698400007","View Full Record in Web of Science")</f>
        <v>View Full Record in Web of Science</v>
      </c>
    </row>
    <row r="699" spans="1:72" x14ac:dyDescent="0.15">
      <c r="A699" t="s">
        <v>72</v>
      </c>
      <c r="B699" t="s">
        <v>9969</v>
      </c>
      <c r="C699" t="s">
        <v>74</v>
      </c>
      <c r="D699" t="s">
        <v>74</v>
      </c>
      <c r="E699" t="s">
        <v>74</v>
      </c>
      <c r="F699" t="s">
        <v>9969</v>
      </c>
      <c r="G699" t="s">
        <v>74</v>
      </c>
      <c r="H699" t="s">
        <v>74</v>
      </c>
      <c r="I699" t="s">
        <v>9970</v>
      </c>
      <c r="J699" t="s">
        <v>9941</v>
      </c>
      <c r="K699" t="s">
        <v>74</v>
      </c>
      <c r="L699" t="s">
        <v>74</v>
      </c>
      <c r="M699" t="s">
        <v>77</v>
      </c>
      <c r="N699" t="s">
        <v>159</v>
      </c>
      <c r="O699" t="s">
        <v>9942</v>
      </c>
      <c r="P699" t="s">
        <v>9943</v>
      </c>
      <c r="Q699" t="s">
        <v>9944</v>
      </c>
      <c r="R699" t="s">
        <v>74</v>
      </c>
      <c r="S699" t="s">
        <v>74</v>
      </c>
      <c r="T699" t="s">
        <v>74</v>
      </c>
      <c r="U699" t="s">
        <v>9971</v>
      </c>
      <c r="V699" t="s">
        <v>9972</v>
      </c>
      <c r="W699" t="s">
        <v>9973</v>
      </c>
      <c r="X699" t="s">
        <v>9974</v>
      </c>
      <c r="Y699" t="s">
        <v>9975</v>
      </c>
      <c r="Z699" t="s">
        <v>9976</v>
      </c>
      <c r="AA699" t="s">
        <v>9950</v>
      </c>
      <c r="AB699" t="s">
        <v>9951</v>
      </c>
      <c r="AC699" t="s">
        <v>74</v>
      </c>
      <c r="AD699" t="s">
        <v>74</v>
      </c>
      <c r="AE699" t="s">
        <v>74</v>
      </c>
      <c r="AF699" t="s">
        <v>74</v>
      </c>
      <c r="AG699">
        <v>31</v>
      </c>
      <c r="AH699">
        <v>8</v>
      </c>
      <c r="AI699">
        <v>9</v>
      </c>
      <c r="AJ699">
        <v>0</v>
      </c>
      <c r="AK699">
        <v>1</v>
      </c>
      <c r="AL699" t="s">
        <v>9977</v>
      </c>
      <c r="AM699" t="s">
        <v>9978</v>
      </c>
      <c r="AN699" t="s">
        <v>9979</v>
      </c>
      <c r="AO699" t="s">
        <v>9952</v>
      </c>
      <c r="AP699" t="s">
        <v>74</v>
      </c>
      <c r="AQ699" t="s">
        <v>74</v>
      </c>
      <c r="AR699" t="s">
        <v>9953</v>
      </c>
      <c r="AS699" t="s">
        <v>9954</v>
      </c>
      <c r="AT699" t="s">
        <v>9181</v>
      </c>
      <c r="AU699">
        <v>2003</v>
      </c>
      <c r="AV699">
        <v>55</v>
      </c>
      <c r="AW699">
        <v>2</v>
      </c>
      <c r="AX699" t="s">
        <v>74</v>
      </c>
      <c r="AY699" t="s">
        <v>74</v>
      </c>
      <c r="AZ699" t="s">
        <v>74</v>
      </c>
      <c r="BA699" t="s">
        <v>74</v>
      </c>
      <c r="BB699">
        <v>159</v>
      </c>
      <c r="BC699">
        <v>169</v>
      </c>
      <c r="BD699" t="s">
        <v>74</v>
      </c>
      <c r="BE699" t="s">
        <v>9980</v>
      </c>
      <c r="BF699" t="str">
        <f>HYPERLINK("http://dx.doi.org/10.1034/j.1600-0889.2003.00023.x","http://dx.doi.org/10.1034/j.1600-0889.2003.00023.x")</f>
        <v>http://dx.doi.org/10.1034/j.1600-0889.2003.00023.x</v>
      </c>
      <c r="BG699" t="s">
        <v>74</v>
      </c>
      <c r="BH699" t="s">
        <v>74</v>
      </c>
      <c r="BI699">
        <v>11</v>
      </c>
      <c r="BJ699" t="s">
        <v>93</v>
      </c>
      <c r="BK699" t="s">
        <v>177</v>
      </c>
      <c r="BL699" t="s">
        <v>93</v>
      </c>
      <c r="BM699" t="s">
        <v>9956</v>
      </c>
      <c r="BN699" t="s">
        <v>74</v>
      </c>
      <c r="BO699" t="s">
        <v>74</v>
      </c>
      <c r="BP699" t="s">
        <v>74</v>
      </c>
      <c r="BQ699" t="s">
        <v>74</v>
      </c>
      <c r="BR699" t="s">
        <v>97</v>
      </c>
      <c r="BS699" t="s">
        <v>9981</v>
      </c>
      <c r="BT699" t="str">
        <f>HYPERLINK("https%3A%2F%2Fwww.webofscience.com%2Fwos%2Fwoscc%2Ffull-record%2FWOS:000182698400009","View Full Record in Web of Science")</f>
        <v>View Full Record in Web of Science</v>
      </c>
    </row>
    <row r="700" spans="1:72" x14ac:dyDescent="0.15">
      <c r="A700" t="s">
        <v>72</v>
      </c>
      <c r="B700" t="s">
        <v>9982</v>
      </c>
      <c r="C700" t="s">
        <v>74</v>
      </c>
      <c r="D700" t="s">
        <v>74</v>
      </c>
      <c r="E700" t="s">
        <v>74</v>
      </c>
      <c r="F700" t="s">
        <v>9982</v>
      </c>
      <c r="G700" t="s">
        <v>74</v>
      </c>
      <c r="H700" t="s">
        <v>74</v>
      </c>
      <c r="I700" t="s">
        <v>9983</v>
      </c>
      <c r="J700" t="s">
        <v>9941</v>
      </c>
      <c r="K700" t="s">
        <v>74</v>
      </c>
      <c r="L700" t="s">
        <v>74</v>
      </c>
      <c r="M700" t="s">
        <v>77</v>
      </c>
      <c r="N700" t="s">
        <v>159</v>
      </c>
      <c r="O700" t="s">
        <v>9942</v>
      </c>
      <c r="P700" t="s">
        <v>9943</v>
      </c>
      <c r="Q700" t="s">
        <v>9944</v>
      </c>
      <c r="R700" t="s">
        <v>74</v>
      </c>
      <c r="S700" t="s">
        <v>74</v>
      </c>
      <c r="T700" t="s">
        <v>74</v>
      </c>
      <c r="U700" t="s">
        <v>9984</v>
      </c>
      <c r="V700" t="s">
        <v>9985</v>
      </c>
      <c r="W700" t="s">
        <v>9986</v>
      </c>
      <c r="X700" t="s">
        <v>9987</v>
      </c>
      <c r="Y700" t="s">
        <v>9988</v>
      </c>
      <c r="Z700" t="s">
        <v>9989</v>
      </c>
      <c r="AA700" t="s">
        <v>9990</v>
      </c>
      <c r="AB700" t="s">
        <v>74</v>
      </c>
      <c r="AC700" t="s">
        <v>74</v>
      </c>
      <c r="AD700" t="s">
        <v>74</v>
      </c>
      <c r="AE700" t="s">
        <v>74</v>
      </c>
      <c r="AF700" t="s">
        <v>74</v>
      </c>
      <c r="AG700">
        <v>20</v>
      </c>
      <c r="AH700">
        <v>11</v>
      </c>
      <c r="AI700">
        <v>14</v>
      </c>
      <c r="AJ700">
        <v>0</v>
      </c>
      <c r="AK700">
        <v>6</v>
      </c>
      <c r="AL700" t="s">
        <v>1651</v>
      </c>
      <c r="AM700" t="s">
        <v>1652</v>
      </c>
      <c r="AN700" t="s">
        <v>2361</v>
      </c>
      <c r="AO700" t="s">
        <v>9991</v>
      </c>
      <c r="AP700" t="s">
        <v>74</v>
      </c>
      <c r="AQ700" t="s">
        <v>74</v>
      </c>
      <c r="AR700" t="s">
        <v>9953</v>
      </c>
      <c r="AS700" t="s">
        <v>9954</v>
      </c>
      <c r="AT700" t="s">
        <v>9181</v>
      </c>
      <c r="AU700">
        <v>2003</v>
      </c>
      <c r="AV700">
        <v>55</v>
      </c>
      <c r="AW700">
        <v>2</v>
      </c>
      <c r="AX700" t="s">
        <v>74</v>
      </c>
      <c r="AY700" t="s">
        <v>74</v>
      </c>
      <c r="AZ700" t="s">
        <v>74</v>
      </c>
      <c r="BA700" t="s">
        <v>74</v>
      </c>
      <c r="BB700">
        <v>170</v>
      </c>
      <c r="BC700">
        <v>177</v>
      </c>
      <c r="BD700" t="s">
        <v>74</v>
      </c>
      <c r="BE700" t="s">
        <v>9992</v>
      </c>
      <c r="BF700" t="str">
        <f>HYPERLINK("http://dx.doi.org/10.1034/j.1600-0889.2003.01471.x","http://dx.doi.org/10.1034/j.1600-0889.2003.01471.x")</f>
        <v>http://dx.doi.org/10.1034/j.1600-0889.2003.01471.x</v>
      </c>
      <c r="BG700" t="s">
        <v>74</v>
      </c>
      <c r="BH700" t="s">
        <v>74</v>
      </c>
      <c r="BI700">
        <v>8</v>
      </c>
      <c r="BJ700" t="s">
        <v>93</v>
      </c>
      <c r="BK700" t="s">
        <v>177</v>
      </c>
      <c r="BL700" t="s">
        <v>93</v>
      </c>
      <c r="BM700" t="s">
        <v>9956</v>
      </c>
      <c r="BN700" t="s">
        <v>74</v>
      </c>
      <c r="BO700" t="s">
        <v>74</v>
      </c>
      <c r="BP700" t="s">
        <v>74</v>
      </c>
      <c r="BQ700" t="s">
        <v>74</v>
      </c>
      <c r="BR700" t="s">
        <v>97</v>
      </c>
      <c r="BS700" t="s">
        <v>9993</v>
      </c>
      <c r="BT700" t="str">
        <f>HYPERLINK("https%3A%2F%2Fwww.webofscience.com%2Fwos%2Fwoscc%2Ffull-record%2FWOS:000182698400010","View Full Record in Web of Science")</f>
        <v>View Full Record in Web of Science</v>
      </c>
    </row>
    <row r="701" spans="1:72" x14ac:dyDescent="0.15">
      <c r="A701" t="s">
        <v>72</v>
      </c>
      <c r="B701" t="s">
        <v>9994</v>
      </c>
      <c r="C701" t="s">
        <v>74</v>
      </c>
      <c r="D701" t="s">
        <v>74</v>
      </c>
      <c r="E701" t="s">
        <v>74</v>
      </c>
      <c r="F701" t="s">
        <v>9994</v>
      </c>
      <c r="G701" t="s">
        <v>74</v>
      </c>
      <c r="H701" t="s">
        <v>74</v>
      </c>
      <c r="I701" t="s">
        <v>9995</v>
      </c>
      <c r="J701" t="s">
        <v>9941</v>
      </c>
      <c r="K701" t="s">
        <v>74</v>
      </c>
      <c r="L701" t="s">
        <v>74</v>
      </c>
      <c r="M701" t="s">
        <v>77</v>
      </c>
      <c r="N701" t="s">
        <v>159</v>
      </c>
      <c r="O701" t="s">
        <v>9942</v>
      </c>
      <c r="P701" t="s">
        <v>9943</v>
      </c>
      <c r="Q701" t="s">
        <v>9944</v>
      </c>
      <c r="R701" t="s">
        <v>74</v>
      </c>
      <c r="S701" t="s">
        <v>74</v>
      </c>
      <c r="T701" t="s">
        <v>74</v>
      </c>
      <c r="U701" t="s">
        <v>9996</v>
      </c>
      <c r="V701" t="s">
        <v>9997</v>
      </c>
      <c r="W701" t="s">
        <v>9998</v>
      </c>
      <c r="X701" t="s">
        <v>9999</v>
      </c>
      <c r="Y701" t="s">
        <v>10000</v>
      </c>
      <c r="Z701" t="s">
        <v>74</v>
      </c>
      <c r="AA701" t="s">
        <v>10001</v>
      </c>
      <c r="AB701" t="s">
        <v>10002</v>
      </c>
      <c r="AC701" t="s">
        <v>74</v>
      </c>
      <c r="AD701" t="s">
        <v>74</v>
      </c>
      <c r="AE701" t="s">
        <v>74</v>
      </c>
      <c r="AF701" t="s">
        <v>74</v>
      </c>
      <c r="AG701">
        <v>22</v>
      </c>
      <c r="AH701">
        <v>28</v>
      </c>
      <c r="AI701">
        <v>34</v>
      </c>
      <c r="AJ701">
        <v>0</v>
      </c>
      <c r="AK701">
        <v>5</v>
      </c>
      <c r="AL701" t="s">
        <v>5513</v>
      </c>
      <c r="AM701" t="s">
        <v>5514</v>
      </c>
      <c r="AN701" t="s">
        <v>5515</v>
      </c>
      <c r="AO701" t="s">
        <v>9952</v>
      </c>
      <c r="AP701" t="s">
        <v>74</v>
      </c>
      <c r="AQ701" t="s">
        <v>74</v>
      </c>
      <c r="AR701" t="s">
        <v>9953</v>
      </c>
      <c r="AS701" t="s">
        <v>9954</v>
      </c>
      <c r="AT701" t="s">
        <v>9181</v>
      </c>
      <c r="AU701">
        <v>2003</v>
      </c>
      <c r="AV701">
        <v>55</v>
      </c>
      <c r="AW701">
        <v>2</v>
      </c>
      <c r="AX701" t="s">
        <v>74</v>
      </c>
      <c r="AY701" t="s">
        <v>74</v>
      </c>
      <c r="AZ701" t="s">
        <v>74</v>
      </c>
      <c r="BA701" t="s">
        <v>74</v>
      </c>
      <c r="BB701">
        <v>701</v>
      </c>
      <c r="BC701">
        <v>710</v>
      </c>
      <c r="BD701" t="s">
        <v>74</v>
      </c>
      <c r="BE701" t="s">
        <v>10003</v>
      </c>
      <c r="BF701" t="str">
        <f>HYPERLINK("http://dx.doi.org/10.1034/j.1600-0889.2003.00058.x","http://dx.doi.org/10.1034/j.1600-0889.2003.00058.x")</f>
        <v>http://dx.doi.org/10.1034/j.1600-0889.2003.00058.x</v>
      </c>
      <c r="BG701" t="s">
        <v>74</v>
      </c>
      <c r="BH701" t="s">
        <v>74</v>
      </c>
      <c r="BI701">
        <v>10</v>
      </c>
      <c r="BJ701" t="s">
        <v>93</v>
      </c>
      <c r="BK701" t="s">
        <v>854</v>
      </c>
      <c r="BL701" t="s">
        <v>93</v>
      </c>
      <c r="BM701" t="s">
        <v>9956</v>
      </c>
      <c r="BN701" t="s">
        <v>74</v>
      </c>
      <c r="BO701" t="s">
        <v>74</v>
      </c>
      <c r="BP701" t="s">
        <v>74</v>
      </c>
      <c r="BQ701" t="s">
        <v>74</v>
      </c>
      <c r="BR701" t="s">
        <v>97</v>
      </c>
      <c r="BS701" t="s">
        <v>10004</v>
      </c>
      <c r="BT701" t="str">
        <f>HYPERLINK("https%3A%2F%2Fwww.webofscience.com%2Fwos%2Fwoscc%2Ffull-record%2FWOS:000182698400053","View Full Record in Web of Science")</f>
        <v>View Full Record in Web of Science</v>
      </c>
    </row>
    <row r="702" spans="1:72" x14ac:dyDescent="0.15">
      <c r="A702" t="s">
        <v>72</v>
      </c>
      <c r="B702" t="s">
        <v>10005</v>
      </c>
      <c r="C702" t="s">
        <v>74</v>
      </c>
      <c r="D702" t="s">
        <v>74</v>
      </c>
      <c r="E702" t="s">
        <v>74</v>
      </c>
      <c r="F702" t="s">
        <v>10005</v>
      </c>
      <c r="G702" t="s">
        <v>74</v>
      </c>
      <c r="H702" t="s">
        <v>74</v>
      </c>
      <c r="I702" t="s">
        <v>10006</v>
      </c>
      <c r="J702" t="s">
        <v>7216</v>
      </c>
      <c r="K702" t="s">
        <v>74</v>
      </c>
      <c r="L702" t="s">
        <v>74</v>
      </c>
      <c r="M702" t="s">
        <v>77</v>
      </c>
      <c r="N702" t="s">
        <v>78</v>
      </c>
      <c r="O702" t="s">
        <v>74</v>
      </c>
      <c r="P702" t="s">
        <v>74</v>
      </c>
      <c r="Q702" t="s">
        <v>74</v>
      </c>
      <c r="R702" t="s">
        <v>74</v>
      </c>
      <c r="S702" t="s">
        <v>74</v>
      </c>
      <c r="T702" t="s">
        <v>74</v>
      </c>
      <c r="U702" t="s">
        <v>10007</v>
      </c>
      <c r="V702" t="s">
        <v>10008</v>
      </c>
      <c r="W702" t="s">
        <v>10009</v>
      </c>
      <c r="X702" t="s">
        <v>10010</v>
      </c>
      <c r="Y702" t="s">
        <v>10011</v>
      </c>
      <c r="Z702" t="s">
        <v>10012</v>
      </c>
      <c r="AA702" t="s">
        <v>10013</v>
      </c>
      <c r="AB702" t="s">
        <v>10014</v>
      </c>
      <c r="AC702" t="s">
        <v>74</v>
      </c>
      <c r="AD702" t="s">
        <v>74</v>
      </c>
      <c r="AE702" t="s">
        <v>74</v>
      </c>
      <c r="AF702" t="s">
        <v>74</v>
      </c>
      <c r="AG702">
        <v>30</v>
      </c>
      <c r="AH702">
        <v>19</v>
      </c>
      <c r="AI702">
        <v>22</v>
      </c>
      <c r="AJ702">
        <v>0</v>
      </c>
      <c r="AK702">
        <v>5</v>
      </c>
      <c r="AL702" t="s">
        <v>85</v>
      </c>
      <c r="AM702" t="s">
        <v>86</v>
      </c>
      <c r="AN702" t="s">
        <v>87</v>
      </c>
      <c r="AO702" t="s">
        <v>7220</v>
      </c>
      <c r="AP702" t="s">
        <v>10015</v>
      </c>
      <c r="AQ702" t="s">
        <v>74</v>
      </c>
      <c r="AR702" t="s">
        <v>7221</v>
      </c>
      <c r="AS702" t="s">
        <v>7222</v>
      </c>
      <c r="AT702" t="s">
        <v>9181</v>
      </c>
      <c r="AU702">
        <v>2003</v>
      </c>
      <c r="AV702">
        <v>18</v>
      </c>
      <c r="AW702">
        <v>2</v>
      </c>
      <c r="AX702" t="s">
        <v>74</v>
      </c>
      <c r="AY702" t="s">
        <v>74</v>
      </c>
      <c r="AZ702" t="s">
        <v>74</v>
      </c>
      <c r="BA702" t="s">
        <v>74</v>
      </c>
      <c r="BB702">
        <v>142</v>
      </c>
      <c r="BC702">
        <v>160</v>
      </c>
      <c r="BD702" t="s">
        <v>74</v>
      </c>
      <c r="BE702" t="s">
        <v>10016</v>
      </c>
      <c r="BF702" t="str">
        <f>HYPERLINK("http://dx.doi.org/10.1175/1520-0434(2003)018&lt;0142:POWFMI&gt;2.0.CO;2","http://dx.doi.org/10.1175/1520-0434(2003)018&lt;0142:POWFMI&gt;2.0.CO;2")</f>
        <v>http://dx.doi.org/10.1175/1520-0434(2003)018&lt;0142:POWFMI&gt;2.0.CO;2</v>
      </c>
      <c r="BG702" t="s">
        <v>74</v>
      </c>
      <c r="BH702" t="s">
        <v>74</v>
      </c>
      <c r="BI702">
        <v>19</v>
      </c>
      <c r="BJ702" t="s">
        <v>93</v>
      </c>
      <c r="BK702" t="s">
        <v>94</v>
      </c>
      <c r="BL702" t="s">
        <v>93</v>
      </c>
      <c r="BM702" t="s">
        <v>10017</v>
      </c>
      <c r="BN702" t="s">
        <v>74</v>
      </c>
      <c r="BO702" t="s">
        <v>96</v>
      </c>
      <c r="BP702" t="s">
        <v>74</v>
      </c>
      <c r="BQ702" t="s">
        <v>74</v>
      </c>
      <c r="BR702" t="s">
        <v>97</v>
      </c>
      <c r="BS702" t="s">
        <v>10018</v>
      </c>
      <c r="BT702" t="str">
        <f>HYPERLINK("https%3A%2F%2Fwww.webofscience.com%2Fwos%2Fwoscc%2Ffull-record%2FWOS:000182452300002","View Full Record in Web of Science")</f>
        <v>View Full Record in Web of Science</v>
      </c>
    </row>
    <row r="703" spans="1:72" x14ac:dyDescent="0.15">
      <c r="A703" t="s">
        <v>72</v>
      </c>
      <c r="B703" t="s">
        <v>10019</v>
      </c>
      <c r="C703" t="s">
        <v>74</v>
      </c>
      <c r="D703" t="s">
        <v>74</v>
      </c>
      <c r="E703" t="s">
        <v>74</v>
      </c>
      <c r="F703" t="s">
        <v>10019</v>
      </c>
      <c r="G703" t="s">
        <v>74</v>
      </c>
      <c r="H703" t="s">
        <v>74</v>
      </c>
      <c r="I703" t="s">
        <v>10020</v>
      </c>
      <c r="J703" t="s">
        <v>3665</v>
      </c>
      <c r="K703" t="s">
        <v>74</v>
      </c>
      <c r="L703" t="s">
        <v>74</v>
      </c>
      <c r="M703" t="s">
        <v>77</v>
      </c>
      <c r="N703" t="s">
        <v>78</v>
      </c>
      <c r="O703" t="s">
        <v>74</v>
      </c>
      <c r="P703" t="s">
        <v>74</v>
      </c>
      <c r="Q703" t="s">
        <v>74</v>
      </c>
      <c r="R703" t="s">
        <v>74</v>
      </c>
      <c r="S703" t="s">
        <v>74</v>
      </c>
      <c r="T703" t="s">
        <v>10021</v>
      </c>
      <c r="U703" t="s">
        <v>10022</v>
      </c>
      <c r="V703" t="s">
        <v>10023</v>
      </c>
      <c r="W703" t="s">
        <v>10024</v>
      </c>
      <c r="X703" t="s">
        <v>10025</v>
      </c>
      <c r="Y703" t="s">
        <v>10026</v>
      </c>
      <c r="Z703" t="s">
        <v>10027</v>
      </c>
      <c r="AA703" t="s">
        <v>10028</v>
      </c>
      <c r="AB703" t="s">
        <v>10029</v>
      </c>
      <c r="AC703" t="s">
        <v>74</v>
      </c>
      <c r="AD703" t="s">
        <v>74</v>
      </c>
      <c r="AE703" t="s">
        <v>74</v>
      </c>
      <c r="AF703" t="s">
        <v>74</v>
      </c>
      <c r="AG703">
        <v>19</v>
      </c>
      <c r="AH703">
        <v>0</v>
      </c>
      <c r="AI703">
        <v>0</v>
      </c>
      <c r="AJ703">
        <v>0</v>
      </c>
      <c r="AK703">
        <v>1</v>
      </c>
      <c r="AL703" t="s">
        <v>3996</v>
      </c>
      <c r="AM703" t="s">
        <v>3863</v>
      </c>
      <c r="AN703" t="s">
        <v>3997</v>
      </c>
      <c r="AO703" t="s">
        <v>3675</v>
      </c>
      <c r="AP703" t="s">
        <v>74</v>
      </c>
      <c r="AQ703" t="s">
        <v>74</v>
      </c>
      <c r="AR703" t="s">
        <v>3677</v>
      </c>
      <c r="AS703" t="s">
        <v>3678</v>
      </c>
      <c r="AT703" t="s">
        <v>10030</v>
      </c>
      <c r="AU703">
        <v>2003</v>
      </c>
      <c r="AV703">
        <v>23</v>
      </c>
      <c r="AW703">
        <v>4</v>
      </c>
      <c r="AX703" t="s">
        <v>74</v>
      </c>
      <c r="AY703" t="s">
        <v>74</v>
      </c>
      <c r="AZ703" t="s">
        <v>74</v>
      </c>
      <c r="BA703" t="s">
        <v>74</v>
      </c>
      <c r="BB703">
        <v>399</v>
      </c>
      <c r="BC703">
        <v>404</v>
      </c>
      <c r="BD703" t="s">
        <v>74</v>
      </c>
      <c r="BE703" t="s">
        <v>10031</v>
      </c>
      <c r="BF703" t="str">
        <f>HYPERLINK("http://dx.doi.org/10.1002/joc.885","http://dx.doi.org/10.1002/joc.885")</f>
        <v>http://dx.doi.org/10.1002/joc.885</v>
      </c>
      <c r="BG703" t="s">
        <v>74</v>
      </c>
      <c r="BH703" t="s">
        <v>74</v>
      </c>
      <c r="BI703">
        <v>6</v>
      </c>
      <c r="BJ703" t="s">
        <v>93</v>
      </c>
      <c r="BK703" t="s">
        <v>94</v>
      </c>
      <c r="BL703" t="s">
        <v>93</v>
      </c>
      <c r="BM703" t="s">
        <v>10032</v>
      </c>
      <c r="BN703" t="s">
        <v>74</v>
      </c>
      <c r="BO703" t="s">
        <v>74</v>
      </c>
      <c r="BP703" t="s">
        <v>74</v>
      </c>
      <c r="BQ703" t="s">
        <v>74</v>
      </c>
      <c r="BR703" t="s">
        <v>97</v>
      </c>
      <c r="BS703" t="s">
        <v>10033</v>
      </c>
      <c r="BT703" t="str">
        <f>HYPERLINK("https%3A%2F%2Fwww.webofscience.com%2Fwos%2Fwoscc%2Ffull-record%2FWOS:000182004000003","View Full Record in Web of Science")</f>
        <v>View Full Record in Web of Science</v>
      </c>
    </row>
    <row r="704" spans="1:72" x14ac:dyDescent="0.15">
      <c r="A704" t="s">
        <v>72</v>
      </c>
      <c r="B704" t="s">
        <v>10034</v>
      </c>
      <c r="C704" t="s">
        <v>74</v>
      </c>
      <c r="D704" t="s">
        <v>74</v>
      </c>
      <c r="E704" t="s">
        <v>74</v>
      </c>
      <c r="F704" t="s">
        <v>10034</v>
      </c>
      <c r="G704" t="s">
        <v>74</v>
      </c>
      <c r="H704" t="s">
        <v>74</v>
      </c>
      <c r="I704" t="s">
        <v>10035</v>
      </c>
      <c r="J704" t="s">
        <v>3665</v>
      </c>
      <c r="K704" t="s">
        <v>74</v>
      </c>
      <c r="L704" t="s">
        <v>74</v>
      </c>
      <c r="M704" t="s">
        <v>77</v>
      </c>
      <c r="N704" t="s">
        <v>78</v>
      </c>
      <c r="O704" t="s">
        <v>74</v>
      </c>
      <c r="P704" t="s">
        <v>74</v>
      </c>
      <c r="Q704" t="s">
        <v>74</v>
      </c>
      <c r="R704" t="s">
        <v>74</v>
      </c>
      <c r="S704" t="s">
        <v>74</v>
      </c>
      <c r="T704" t="s">
        <v>10036</v>
      </c>
      <c r="U704" t="s">
        <v>10037</v>
      </c>
      <c r="V704" t="s">
        <v>10038</v>
      </c>
      <c r="W704" t="s">
        <v>10039</v>
      </c>
      <c r="X704" t="s">
        <v>10040</v>
      </c>
      <c r="Y704" t="s">
        <v>10041</v>
      </c>
      <c r="Z704" t="s">
        <v>10042</v>
      </c>
      <c r="AA704" t="s">
        <v>10043</v>
      </c>
      <c r="AB704" t="s">
        <v>10044</v>
      </c>
      <c r="AC704" t="s">
        <v>74</v>
      </c>
      <c r="AD704" t="s">
        <v>74</v>
      </c>
      <c r="AE704" t="s">
        <v>74</v>
      </c>
      <c r="AF704" t="s">
        <v>74</v>
      </c>
      <c r="AG704">
        <v>45</v>
      </c>
      <c r="AH704">
        <v>71</v>
      </c>
      <c r="AI704">
        <v>80</v>
      </c>
      <c r="AJ704">
        <v>0</v>
      </c>
      <c r="AK704">
        <v>21</v>
      </c>
      <c r="AL704" t="s">
        <v>250</v>
      </c>
      <c r="AM704" t="s">
        <v>251</v>
      </c>
      <c r="AN704" t="s">
        <v>252</v>
      </c>
      <c r="AO704" t="s">
        <v>3675</v>
      </c>
      <c r="AP704" t="s">
        <v>3676</v>
      </c>
      <c r="AQ704" t="s">
        <v>74</v>
      </c>
      <c r="AR704" t="s">
        <v>3677</v>
      </c>
      <c r="AS704" t="s">
        <v>3678</v>
      </c>
      <c r="AT704" t="s">
        <v>10030</v>
      </c>
      <c r="AU704">
        <v>2003</v>
      </c>
      <c r="AV704">
        <v>23</v>
      </c>
      <c r="AW704">
        <v>4</v>
      </c>
      <c r="AX704" t="s">
        <v>74</v>
      </c>
      <c r="AY704" t="s">
        <v>74</v>
      </c>
      <c r="AZ704" t="s">
        <v>74</v>
      </c>
      <c r="BA704" t="s">
        <v>74</v>
      </c>
      <c r="BB704">
        <v>417</v>
      </c>
      <c r="BC704">
        <v>426</v>
      </c>
      <c r="BD704" t="s">
        <v>74</v>
      </c>
      <c r="BE704" t="s">
        <v>10045</v>
      </c>
      <c r="BF704" t="str">
        <f>HYPERLINK("http://dx.doi.org/10.1002/joc.891","http://dx.doi.org/10.1002/joc.891")</f>
        <v>http://dx.doi.org/10.1002/joc.891</v>
      </c>
      <c r="BG704" t="s">
        <v>74</v>
      </c>
      <c r="BH704" t="s">
        <v>74</v>
      </c>
      <c r="BI704">
        <v>10</v>
      </c>
      <c r="BJ704" t="s">
        <v>93</v>
      </c>
      <c r="BK704" t="s">
        <v>94</v>
      </c>
      <c r="BL704" t="s">
        <v>93</v>
      </c>
      <c r="BM704" t="s">
        <v>10032</v>
      </c>
      <c r="BN704" t="s">
        <v>74</v>
      </c>
      <c r="BO704" t="s">
        <v>74</v>
      </c>
      <c r="BP704" t="s">
        <v>74</v>
      </c>
      <c r="BQ704" t="s">
        <v>74</v>
      </c>
      <c r="BR704" t="s">
        <v>97</v>
      </c>
      <c r="BS704" t="s">
        <v>10046</v>
      </c>
      <c r="BT704" t="str">
        <f>HYPERLINK("https%3A%2F%2Fwww.webofscience.com%2Fwos%2Fwoscc%2Ffull-record%2FWOS:000182004000005","View Full Record in Web of Science")</f>
        <v>View Full Record in Web of Science</v>
      </c>
    </row>
    <row r="705" spans="1:72" x14ac:dyDescent="0.15">
      <c r="A705" t="s">
        <v>72</v>
      </c>
      <c r="B705" t="s">
        <v>10047</v>
      </c>
      <c r="C705" t="s">
        <v>74</v>
      </c>
      <c r="D705" t="s">
        <v>74</v>
      </c>
      <c r="E705" t="s">
        <v>74</v>
      </c>
      <c r="F705" t="s">
        <v>10047</v>
      </c>
      <c r="G705" t="s">
        <v>74</v>
      </c>
      <c r="H705" t="s">
        <v>74</v>
      </c>
      <c r="I705" t="s">
        <v>10048</v>
      </c>
      <c r="J705" t="s">
        <v>530</v>
      </c>
      <c r="K705" t="s">
        <v>74</v>
      </c>
      <c r="L705" t="s">
        <v>74</v>
      </c>
      <c r="M705" t="s">
        <v>77</v>
      </c>
      <c r="N705" t="s">
        <v>78</v>
      </c>
      <c r="O705" t="s">
        <v>74</v>
      </c>
      <c r="P705" t="s">
        <v>74</v>
      </c>
      <c r="Q705" t="s">
        <v>74</v>
      </c>
      <c r="R705" t="s">
        <v>74</v>
      </c>
      <c r="S705" t="s">
        <v>74</v>
      </c>
      <c r="T705" t="s">
        <v>74</v>
      </c>
      <c r="U705" t="s">
        <v>10049</v>
      </c>
      <c r="V705" t="s">
        <v>10050</v>
      </c>
      <c r="W705" t="s">
        <v>10051</v>
      </c>
      <c r="X705" t="s">
        <v>10052</v>
      </c>
      <c r="Y705" t="s">
        <v>10053</v>
      </c>
      <c r="Z705" t="s">
        <v>74</v>
      </c>
      <c r="AA705" t="s">
        <v>6132</v>
      </c>
      <c r="AB705" t="s">
        <v>74</v>
      </c>
      <c r="AC705" t="s">
        <v>74</v>
      </c>
      <c r="AD705" t="s">
        <v>74</v>
      </c>
      <c r="AE705" t="s">
        <v>74</v>
      </c>
      <c r="AF705" t="s">
        <v>74</v>
      </c>
      <c r="AG705">
        <v>15</v>
      </c>
      <c r="AH705">
        <v>23</v>
      </c>
      <c r="AI705">
        <v>25</v>
      </c>
      <c r="AJ705">
        <v>0</v>
      </c>
      <c r="AK705">
        <v>9</v>
      </c>
      <c r="AL705" t="s">
        <v>539</v>
      </c>
      <c r="AM705" t="s">
        <v>540</v>
      </c>
      <c r="AN705" t="s">
        <v>541</v>
      </c>
      <c r="AO705" t="s">
        <v>542</v>
      </c>
      <c r="AP705" t="s">
        <v>74</v>
      </c>
      <c r="AQ705" t="s">
        <v>74</v>
      </c>
      <c r="AR705" t="s">
        <v>544</v>
      </c>
      <c r="AS705" t="s">
        <v>545</v>
      </c>
      <c r="AT705" t="s">
        <v>10054</v>
      </c>
      <c r="AU705">
        <v>2003</v>
      </c>
      <c r="AV705">
        <v>30</v>
      </c>
      <c r="AW705">
        <v>6</v>
      </c>
      <c r="AX705" t="s">
        <v>74</v>
      </c>
      <c r="AY705" t="s">
        <v>74</v>
      </c>
      <c r="AZ705" t="s">
        <v>74</v>
      </c>
      <c r="BA705" t="s">
        <v>74</v>
      </c>
      <c r="BB705" t="s">
        <v>74</v>
      </c>
      <c r="BC705" t="s">
        <v>74</v>
      </c>
      <c r="BD705">
        <v>1348</v>
      </c>
      <c r="BE705" t="s">
        <v>10055</v>
      </c>
      <c r="BF705" t="str">
        <f>HYPERLINK("http://dx.doi.org/10.1029/2002GL016719","http://dx.doi.org/10.1029/2002GL016719")</f>
        <v>http://dx.doi.org/10.1029/2002GL016719</v>
      </c>
      <c r="BG705" t="s">
        <v>74</v>
      </c>
      <c r="BH705" t="s">
        <v>74</v>
      </c>
      <c r="BI705">
        <v>4</v>
      </c>
      <c r="BJ705" t="s">
        <v>548</v>
      </c>
      <c r="BK705" t="s">
        <v>94</v>
      </c>
      <c r="BL705" t="s">
        <v>549</v>
      </c>
      <c r="BM705" t="s">
        <v>10056</v>
      </c>
      <c r="BN705" t="s">
        <v>74</v>
      </c>
      <c r="BO705" t="s">
        <v>96</v>
      </c>
      <c r="BP705" t="s">
        <v>74</v>
      </c>
      <c r="BQ705" t="s">
        <v>74</v>
      </c>
      <c r="BR705" t="s">
        <v>97</v>
      </c>
      <c r="BS705" t="s">
        <v>10057</v>
      </c>
      <c r="BT705" t="str">
        <f>HYPERLINK("https%3A%2F%2Fwww.webofscience.com%2Fwos%2Fwoscc%2Ffull-record%2FWOS:000182817600007","View Full Record in Web of Science")</f>
        <v>View Full Record in Web of Science</v>
      </c>
    </row>
    <row r="706" spans="1:72" x14ac:dyDescent="0.15">
      <c r="A706" t="s">
        <v>72</v>
      </c>
      <c r="B706" t="s">
        <v>10058</v>
      </c>
      <c r="C706" t="s">
        <v>74</v>
      </c>
      <c r="D706" t="s">
        <v>74</v>
      </c>
      <c r="E706" t="s">
        <v>74</v>
      </c>
      <c r="F706" t="s">
        <v>10058</v>
      </c>
      <c r="G706" t="s">
        <v>74</v>
      </c>
      <c r="H706" t="s">
        <v>74</v>
      </c>
      <c r="I706" t="s">
        <v>10059</v>
      </c>
      <c r="J706" t="s">
        <v>665</v>
      </c>
      <c r="K706" t="s">
        <v>74</v>
      </c>
      <c r="L706" t="s">
        <v>74</v>
      </c>
      <c r="M706" t="s">
        <v>77</v>
      </c>
      <c r="N706" t="s">
        <v>78</v>
      </c>
      <c r="O706" t="s">
        <v>74</v>
      </c>
      <c r="P706" t="s">
        <v>74</v>
      </c>
      <c r="Q706" t="s">
        <v>74</v>
      </c>
      <c r="R706" t="s">
        <v>74</v>
      </c>
      <c r="S706" t="s">
        <v>74</v>
      </c>
      <c r="T706" t="s">
        <v>10060</v>
      </c>
      <c r="U706" t="s">
        <v>10061</v>
      </c>
      <c r="V706" t="s">
        <v>10062</v>
      </c>
      <c r="W706" t="s">
        <v>10063</v>
      </c>
      <c r="X706" t="s">
        <v>4330</v>
      </c>
      <c r="Y706" t="s">
        <v>10064</v>
      </c>
      <c r="Z706" t="s">
        <v>10065</v>
      </c>
      <c r="AA706" t="s">
        <v>74</v>
      </c>
      <c r="AB706" t="s">
        <v>74</v>
      </c>
      <c r="AC706" t="s">
        <v>74</v>
      </c>
      <c r="AD706" t="s">
        <v>74</v>
      </c>
      <c r="AE706" t="s">
        <v>74</v>
      </c>
      <c r="AF706" t="s">
        <v>74</v>
      </c>
      <c r="AG706">
        <v>77</v>
      </c>
      <c r="AH706">
        <v>28</v>
      </c>
      <c r="AI706">
        <v>31</v>
      </c>
      <c r="AJ706">
        <v>0</v>
      </c>
      <c r="AK706">
        <v>6</v>
      </c>
      <c r="AL706" t="s">
        <v>539</v>
      </c>
      <c r="AM706" t="s">
        <v>540</v>
      </c>
      <c r="AN706" t="s">
        <v>541</v>
      </c>
      <c r="AO706" t="s">
        <v>672</v>
      </c>
      <c r="AP706" t="s">
        <v>673</v>
      </c>
      <c r="AQ706" t="s">
        <v>74</v>
      </c>
      <c r="AR706" t="s">
        <v>674</v>
      </c>
      <c r="AS706" t="s">
        <v>675</v>
      </c>
      <c r="AT706" t="s">
        <v>10054</v>
      </c>
      <c r="AU706">
        <v>2003</v>
      </c>
      <c r="AV706">
        <v>108</v>
      </c>
      <c r="AW706" t="s">
        <v>10066</v>
      </c>
      <c r="AX706" t="s">
        <v>74</v>
      </c>
      <c r="AY706" t="s">
        <v>74</v>
      </c>
      <c r="AZ706" t="s">
        <v>74</v>
      </c>
      <c r="BA706" t="s">
        <v>74</v>
      </c>
      <c r="BB706" t="s">
        <v>74</v>
      </c>
      <c r="BC706" t="s">
        <v>74</v>
      </c>
      <c r="BD706">
        <v>3102</v>
      </c>
      <c r="BE706" t="s">
        <v>10067</v>
      </c>
      <c r="BF706" t="str">
        <f>HYPERLINK("http://dx.doi.org/10.1029/2001JC001148","http://dx.doi.org/10.1029/2001JC001148")</f>
        <v>http://dx.doi.org/10.1029/2001JC001148</v>
      </c>
      <c r="BG706" t="s">
        <v>74</v>
      </c>
      <c r="BH706" t="s">
        <v>74</v>
      </c>
      <c r="BI706">
        <v>11</v>
      </c>
      <c r="BJ706" t="s">
        <v>678</v>
      </c>
      <c r="BK706" t="s">
        <v>94</v>
      </c>
      <c r="BL706" t="s">
        <v>678</v>
      </c>
      <c r="BM706" t="s">
        <v>10068</v>
      </c>
      <c r="BN706" t="s">
        <v>74</v>
      </c>
      <c r="BO706" t="s">
        <v>74</v>
      </c>
      <c r="BP706" t="s">
        <v>74</v>
      </c>
      <c r="BQ706" t="s">
        <v>74</v>
      </c>
      <c r="BR706" t="s">
        <v>97</v>
      </c>
      <c r="BS706" t="s">
        <v>10069</v>
      </c>
      <c r="BT706" t="str">
        <f>HYPERLINK("https%3A%2F%2Fwww.webofscience.com%2Fwos%2Fwoscc%2Ffull-record%2FWOS:000182819300001","View Full Record in Web of Science")</f>
        <v>View Full Record in Web of Science</v>
      </c>
    </row>
    <row r="707" spans="1:72" x14ac:dyDescent="0.15">
      <c r="A707" t="s">
        <v>72</v>
      </c>
      <c r="B707" t="s">
        <v>10070</v>
      </c>
      <c r="C707" t="s">
        <v>74</v>
      </c>
      <c r="D707" t="s">
        <v>74</v>
      </c>
      <c r="E707" t="s">
        <v>74</v>
      </c>
      <c r="F707" t="s">
        <v>10070</v>
      </c>
      <c r="G707" t="s">
        <v>74</v>
      </c>
      <c r="H707" t="s">
        <v>74</v>
      </c>
      <c r="I707" t="s">
        <v>10071</v>
      </c>
      <c r="J707" t="s">
        <v>530</v>
      </c>
      <c r="K707" t="s">
        <v>74</v>
      </c>
      <c r="L707" t="s">
        <v>74</v>
      </c>
      <c r="M707" t="s">
        <v>77</v>
      </c>
      <c r="N707" t="s">
        <v>78</v>
      </c>
      <c r="O707" t="s">
        <v>74</v>
      </c>
      <c r="P707" t="s">
        <v>74</v>
      </c>
      <c r="Q707" t="s">
        <v>74</v>
      </c>
      <c r="R707" t="s">
        <v>74</v>
      </c>
      <c r="S707" t="s">
        <v>74</v>
      </c>
      <c r="T707" t="s">
        <v>74</v>
      </c>
      <c r="U707" t="s">
        <v>10072</v>
      </c>
      <c r="V707" t="s">
        <v>10073</v>
      </c>
      <c r="W707" t="s">
        <v>10074</v>
      </c>
      <c r="X707" t="s">
        <v>10075</v>
      </c>
      <c r="Y707" t="s">
        <v>10076</v>
      </c>
      <c r="Z707" t="s">
        <v>74</v>
      </c>
      <c r="AA707" t="s">
        <v>10077</v>
      </c>
      <c r="AB707" t="s">
        <v>10078</v>
      </c>
      <c r="AC707" t="s">
        <v>74</v>
      </c>
      <c r="AD707" t="s">
        <v>74</v>
      </c>
      <c r="AE707" t="s">
        <v>74</v>
      </c>
      <c r="AF707" t="s">
        <v>74</v>
      </c>
      <c r="AG707">
        <v>15</v>
      </c>
      <c r="AH707">
        <v>11</v>
      </c>
      <c r="AI707">
        <v>11</v>
      </c>
      <c r="AJ707">
        <v>1</v>
      </c>
      <c r="AK707">
        <v>3</v>
      </c>
      <c r="AL707" t="s">
        <v>539</v>
      </c>
      <c r="AM707" t="s">
        <v>540</v>
      </c>
      <c r="AN707" t="s">
        <v>541</v>
      </c>
      <c r="AO707" t="s">
        <v>542</v>
      </c>
      <c r="AP707" t="s">
        <v>74</v>
      </c>
      <c r="AQ707" t="s">
        <v>74</v>
      </c>
      <c r="AR707" t="s">
        <v>544</v>
      </c>
      <c r="AS707" t="s">
        <v>545</v>
      </c>
      <c r="AT707" t="s">
        <v>10079</v>
      </c>
      <c r="AU707">
        <v>2003</v>
      </c>
      <c r="AV707">
        <v>30</v>
      </c>
      <c r="AW707">
        <v>6</v>
      </c>
      <c r="AX707" t="s">
        <v>74</v>
      </c>
      <c r="AY707" t="s">
        <v>74</v>
      </c>
      <c r="AZ707" t="s">
        <v>74</v>
      </c>
      <c r="BA707" t="s">
        <v>74</v>
      </c>
      <c r="BB707" t="s">
        <v>74</v>
      </c>
      <c r="BC707" t="s">
        <v>74</v>
      </c>
      <c r="BD707">
        <v>1336</v>
      </c>
      <c r="BE707" t="s">
        <v>10080</v>
      </c>
      <c r="BF707" t="str">
        <f>HYPERLINK("http://dx.doi.org/10.1029/2002GL016750","http://dx.doi.org/10.1029/2002GL016750")</f>
        <v>http://dx.doi.org/10.1029/2002GL016750</v>
      </c>
      <c r="BG707" t="s">
        <v>74</v>
      </c>
      <c r="BH707" t="s">
        <v>74</v>
      </c>
      <c r="BI707">
        <v>4</v>
      </c>
      <c r="BJ707" t="s">
        <v>548</v>
      </c>
      <c r="BK707" t="s">
        <v>94</v>
      </c>
      <c r="BL707" t="s">
        <v>549</v>
      </c>
      <c r="BM707" t="s">
        <v>10081</v>
      </c>
      <c r="BN707" t="s">
        <v>74</v>
      </c>
      <c r="BO707" t="s">
        <v>96</v>
      </c>
      <c r="BP707" t="s">
        <v>74</v>
      </c>
      <c r="BQ707" t="s">
        <v>74</v>
      </c>
      <c r="BR707" t="s">
        <v>97</v>
      </c>
      <c r="BS707" t="s">
        <v>10082</v>
      </c>
      <c r="BT707" t="str">
        <f>HYPERLINK("https%3A%2F%2Fwww.webofscience.com%2Fwos%2Fwoscc%2Ffull-record%2FWOS:000182817500007","View Full Record in Web of Science")</f>
        <v>View Full Record in Web of Science</v>
      </c>
    </row>
    <row r="708" spans="1:72" x14ac:dyDescent="0.15">
      <c r="A708" t="s">
        <v>72</v>
      </c>
      <c r="B708" t="s">
        <v>10083</v>
      </c>
      <c r="C708" t="s">
        <v>74</v>
      </c>
      <c r="D708" t="s">
        <v>74</v>
      </c>
      <c r="E708" t="s">
        <v>74</v>
      </c>
      <c r="F708" t="s">
        <v>10083</v>
      </c>
      <c r="G708" t="s">
        <v>74</v>
      </c>
      <c r="H708" t="s">
        <v>74</v>
      </c>
      <c r="I708" t="s">
        <v>10084</v>
      </c>
      <c r="J708" t="s">
        <v>613</v>
      </c>
      <c r="K708" t="s">
        <v>74</v>
      </c>
      <c r="L708" t="s">
        <v>74</v>
      </c>
      <c r="M708" t="s">
        <v>77</v>
      </c>
      <c r="N708" t="s">
        <v>78</v>
      </c>
      <c r="O708" t="s">
        <v>74</v>
      </c>
      <c r="P708" t="s">
        <v>74</v>
      </c>
      <c r="Q708" t="s">
        <v>74</v>
      </c>
      <c r="R708" t="s">
        <v>74</v>
      </c>
      <c r="S708" t="s">
        <v>74</v>
      </c>
      <c r="T708" t="s">
        <v>10085</v>
      </c>
      <c r="U708" t="s">
        <v>10086</v>
      </c>
      <c r="V708" t="s">
        <v>10087</v>
      </c>
      <c r="W708" t="s">
        <v>10088</v>
      </c>
      <c r="X708" t="s">
        <v>10089</v>
      </c>
      <c r="Y708" t="s">
        <v>10090</v>
      </c>
      <c r="Z708" t="s">
        <v>10091</v>
      </c>
      <c r="AA708" t="s">
        <v>74</v>
      </c>
      <c r="AB708" t="s">
        <v>10092</v>
      </c>
      <c r="AC708" t="s">
        <v>74</v>
      </c>
      <c r="AD708" t="s">
        <v>74</v>
      </c>
      <c r="AE708" t="s">
        <v>74</v>
      </c>
      <c r="AF708" t="s">
        <v>74</v>
      </c>
      <c r="AG708">
        <v>95</v>
      </c>
      <c r="AH708">
        <v>179</v>
      </c>
      <c r="AI708">
        <v>203</v>
      </c>
      <c r="AJ708">
        <v>0</v>
      </c>
      <c r="AK708">
        <v>35</v>
      </c>
      <c r="AL708" t="s">
        <v>539</v>
      </c>
      <c r="AM708" t="s">
        <v>540</v>
      </c>
      <c r="AN708" t="s">
        <v>541</v>
      </c>
      <c r="AO708" t="s">
        <v>621</v>
      </c>
      <c r="AP708" t="s">
        <v>622</v>
      </c>
      <c r="AQ708" t="s">
        <v>74</v>
      </c>
      <c r="AR708" t="s">
        <v>613</v>
      </c>
      <c r="AS708" t="s">
        <v>623</v>
      </c>
      <c r="AT708" t="s">
        <v>10079</v>
      </c>
      <c r="AU708">
        <v>2003</v>
      </c>
      <c r="AV708">
        <v>18</v>
      </c>
      <c r="AW708">
        <v>1</v>
      </c>
      <c r="AX708" t="s">
        <v>74</v>
      </c>
      <c r="AY708" t="s">
        <v>74</v>
      </c>
      <c r="AZ708" t="s">
        <v>74</v>
      </c>
      <c r="BA708" t="s">
        <v>74</v>
      </c>
      <c r="BB708" t="s">
        <v>74</v>
      </c>
      <c r="BC708" t="s">
        <v>74</v>
      </c>
      <c r="BD708">
        <v>1022</v>
      </c>
      <c r="BE708" t="s">
        <v>10093</v>
      </c>
      <c r="BF708" t="str">
        <f>HYPERLINK("http://dx.doi.org/10.1029/2002PA000814","http://dx.doi.org/10.1029/2002PA000814")</f>
        <v>http://dx.doi.org/10.1029/2002PA000814</v>
      </c>
      <c r="BG708" t="s">
        <v>74</v>
      </c>
      <c r="BH708" t="s">
        <v>74</v>
      </c>
      <c r="BI708">
        <v>16</v>
      </c>
      <c r="BJ708" t="s">
        <v>625</v>
      </c>
      <c r="BK708" t="s">
        <v>94</v>
      </c>
      <c r="BL708" t="s">
        <v>626</v>
      </c>
      <c r="BM708" t="s">
        <v>10094</v>
      </c>
      <c r="BN708" t="s">
        <v>74</v>
      </c>
      <c r="BO708" t="s">
        <v>96</v>
      </c>
      <c r="BP708" t="s">
        <v>74</v>
      </c>
      <c r="BQ708" t="s">
        <v>74</v>
      </c>
      <c r="BR708" t="s">
        <v>97</v>
      </c>
      <c r="BS708" t="s">
        <v>10095</v>
      </c>
      <c r="BT708" t="str">
        <f>HYPERLINK("https%3A%2F%2Fwww.webofscience.com%2Fwos%2Fwoscc%2Ffull-record%2FWOS:000182820600001","View Full Record in Web of Science")</f>
        <v>View Full Record in Web of Science</v>
      </c>
    </row>
    <row r="709" spans="1:72" x14ac:dyDescent="0.15">
      <c r="A709" t="s">
        <v>72</v>
      </c>
      <c r="B709" t="s">
        <v>10096</v>
      </c>
      <c r="C709" t="s">
        <v>74</v>
      </c>
      <c r="D709" t="s">
        <v>74</v>
      </c>
      <c r="E709" t="s">
        <v>74</v>
      </c>
      <c r="F709" t="s">
        <v>10096</v>
      </c>
      <c r="G709" t="s">
        <v>74</v>
      </c>
      <c r="H709" t="s">
        <v>74</v>
      </c>
      <c r="I709" t="s">
        <v>10097</v>
      </c>
      <c r="J709" t="s">
        <v>613</v>
      </c>
      <c r="K709" t="s">
        <v>74</v>
      </c>
      <c r="L709" t="s">
        <v>74</v>
      </c>
      <c r="M709" t="s">
        <v>77</v>
      </c>
      <c r="N709" t="s">
        <v>78</v>
      </c>
      <c r="O709" t="s">
        <v>74</v>
      </c>
      <c r="P709" t="s">
        <v>74</v>
      </c>
      <c r="Q709" t="s">
        <v>74</v>
      </c>
      <c r="R709" t="s">
        <v>74</v>
      </c>
      <c r="S709" t="s">
        <v>74</v>
      </c>
      <c r="T709" t="s">
        <v>10098</v>
      </c>
      <c r="U709" t="s">
        <v>10099</v>
      </c>
      <c r="V709" t="s">
        <v>10100</v>
      </c>
      <c r="W709" t="s">
        <v>10101</v>
      </c>
      <c r="X709" t="s">
        <v>9440</v>
      </c>
      <c r="Y709" t="s">
        <v>10102</v>
      </c>
      <c r="Z709" t="s">
        <v>74</v>
      </c>
      <c r="AA709" t="s">
        <v>74</v>
      </c>
      <c r="AB709" t="s">
        <v>10103</v>
      </c>
      <c r="AC709" t="s">
        <v>74</v>
      </c>
      <c r="AD709" t="s">
        <v>74</v>
      </c>
      <c r="AE709" t="s">
        <v>74</v>
      </c>
      <c r="AF709" t="s">
        <v>74</v>
      </c>
      <c r="AG709">
        <v>40</v>
      </c>
      <c r="AH709">
        <v>70</v>
      </c>
      <c r="AI709">
        <v>72</v>
      </c>
      <c r="AJ709">
        <v>1</v>
      </c>
      <c r="AK709">
        <v>10</v>
      </c>
      <c r="AL709" t="s">
        <v>539</v>
      </c>
      <c r="AM709" t="s">
        <v>540</v>
      </c>
      <c r="AN709" t="s">
        <v>541</v>
      </c>
      <c r="AO709" t="s">
        <v>621</v>
      </c>
      <c r="AP709" t="s">
        <v>74</v>
      </c>
      <c r="AQ709" t="s">
        <v>74</v>
      </c>
      <c r="AR709" t="s">
        <v>613</v>
      </c>
      <c r="AS709" t="s">
        <v>623</v>
      </c>
      <c r="AT709" t="s">
        <v>10104</v>
      </c>
      <c r="AU709">
        <v>2003</v>
      </c>
      <c r="AV709">
        <v>18</v>
      </c>
      <c r="AW709">
        <v>1</v>
      </c>
      <c r="AX709" t="s">
        <v>74</v>
      </c>
      <c r="AY709" t="s">
        <v>74</v>
      </c>
      <c r="AZ709" t="s">
        <v>74</v>
      </c>
      <c r="BA709" t="s">
        <v>74</v>
      </c>
      <c r="BB709" t="s">
        <v>74</v>
      </c>
      <c r="BC709" t="s">
        <v>74</v>
      </c>
      <c r="BD709">
        <v>1019</v>
      </c>
      <c r="BE709" t="s">
        <v>10105</v>
      </c>
      <c r="BF709" t="str">
        <f>HYPERLINK("http://dx.doi.org/10.1029/2002PA000839","http://dx.doi.org/10.1029/2002PA000839")</f>
        <v>http://dx.doi.org/10.1029/2002PA000839</v>
      </c>
      <c r="BG709" t="s">
        <v>74</v>
      </c>
      <c r="BH709" t="s">
        <v>74</v>
      </c>
      <c r="BI709">
        <v>17</v>
      </c>
      <c r="BJ709" t="s">
        <v>625</v>
      </c>
      <c r="BK709" t="s">
        <v>94</v>
      </c>
      <c r="BL709" t="s">
        <v>626</v>
      </c>
      <c r="BM709" t="s">
        <v>10106</v>
      </c>
      <c r="BN709" t="s">
        <v>74</v>
      </c>
      <c r="BO709" t="s">
        <v>96</v>
      </c>
      <c r="BP709" t="s">
        <v>74</v>
      </c>
      <c r="BQ709" t="s">
        <v>74</v>
      </c>
      <c r="BR709" t="s">
        <v>97</v>
      </c>
      <c r="BS709" t="s">
        <v>10107</v>
      </c>
      <c r="BT709" t="str">
        <f>HYPERLINK("https%3A%2F%2Fwww.webofscience.com%2Fwos%2Fwoscc%2Ffull-record%2FWOS:000182820400004","View Full Record in Web of Science")</f>
        <v>View Full Record in Web of Science</v>
      </c>
    </row>
    <row r="710" spans="1:72" x14ac:dyDescent="0.15">
      <c r="A710" t="s">
        <v>72</v>
      </c>
      <c r="B710" t="s">
        <v>10108</v>
      </c>
      <c r="C710" t="s">
        <v>74</v>
      </c>
      <c r="D710" t="s">
        <v>74</v>
      </c>
      <c r="E710" t="s">
        <v>74</v>
      </c>
      <c r="F710" t="s">
        <v>10108</v>
      </c>
      <c r="G710" t="s">
        <v>74</v>
      </c>
      <c r="H710" t="s">
        <v>74</v>
      </c>
      <c r="I710" t="s">
        <v>10109</v>
      </c>
      <c r="J710" t="s">
        <v>728</v>
      </c>
      <c r="K710" t="s">
        <v>74</v>
      </c>
      <c r="L710" t="s">
        <v>74</v>
      </c>
      <c r="M710" t="s">
        <v>77</v>
      </c>
      <c r="N710" t="s">
        <v>78</v>
      </c>
      <c r="O710" t="s">
        <v>74</v>
      </c>
      <c r="P710" t="s">
        <v>74</v>
      </c>
      <c r="Q710" t="s">
        <v>74</v>
      </c>
      <c r="R710" t="s">
        <v>74</v>
      </c>
      <c r="S710" t="s">
        <v>74</v>
      </c>
      <c r="T710" t="s">
        <v>10110</v>
      </c>
      <c r="U710" t="s">
        <v>10111</v>
      </c>
      <c r="V710" t="s">
        <v>10112</v>
      </c>
      <c r="W710" t="s">
        <v>10113</v>
      </c>
      <c r="X710" t="s">
        <v>10114</v>
      </c>
      <c r="Y710" t="s">
        <v>10115</v>
      </c>
      <c r="Z710" t="s">
        <v>10116</v>
      </c>
      <c r="AA710" t="s">
        <v>10117</v>
      </c>
      <c r="AB710" t="s">
        <v>10118</v>
      </c>
      <c r="AC710" t="s">
        <v>74</v>
      </c>
      <c r="AD710" t="s">
        <v>74</v>
      </c>
      <c r="AE710" t="s">
        <v>74</v>
      </c>
      <c r="AF710" t="s">
        <v>74</v>
      </c>
      <c r="AG710">
        <v>90</v>
      </c>
      <c r="AH710">
        <v>54</v>
      </c>
      <c r="AI710">
        <v>58</v>
      </c>
      <c r="AJ710">
        <v>0</v>
      </c>
      <c r="AK710">
        <v>12</v>
      </c>
      <c r="AL710" t="s">
        <v>539</v>
      </c>
      <c r="AM710" t="s">
        <v>540</v>
      </c>
      <c r="AN710" t="s">
        <v>541</v>
      </c>
      <c r="AO710" t="s">
        <v>736</v>
      </c>
      <c r="AP710" t="s">
        <v>737</v>
      </c>
      <c r="AQ710" t="s">
        <v>74</v>
      </c>
      <c r="AR710" t="s">
        <v>738</v>
      </c>
      <c r="AS710" t="s">
        <v>739</v>
      </c>
      <c r="AT710" t="s">
        <v>10119</v>
      </c>
      <c r="AU710">
        <v>2003</v>
      </c>
      <c r="AV710">
        <v>108</v>
      </c>
      <c r="AW710" t="s">
        <v>10120</v>
      </c>
      <c r="AX710" t="s">
        <v>74</v>
      </c>
      <c r="AY710" t="s">
        <v>74</v>
      </c>
      <c r="AZ710" t="s">
        <v>74</v>
      </c>
      <c r="BA710" t="s">
        <v>74</v>
      </c>
      <c r="BB710" t="s">
        <v>74</v>
      </c>
      <c r="BC710" t="s">
        <v>74</v>
      </c>
      <c r="BD710">
        <v>2169</v>
      </c>
      <c r="BE710" t="s">
        <v>10121</v>
      </c>
      <c r="BF710" t="str">
        <f>HYPERLINK("http://dx.doi.org/10.1029/2001JB000604","http://dx.doi.org/10.1029/2001JB000604")</f>
        <v>http://dx.doi.org/10.1029/2001JB000604</v>
      </c>
      <c r="BG710" t="s">
        <v>74</v>
      </c>
      <c r="BH710" t="s">
        <v>74</v>
      </c>
      <c r="BI710">
        <v>23</v>
      </c>
      <c r="BJ710" t="s">
        <v>176</v>
      </c>
      <c r="BK710" t="s">
        <v>94</v>
      </c>
      <c r="BL710" t="s">
        <v>176</v>
      </c>
      <c r="BM710" t="s">
        <v>10122</v>
      </c>
      <c r="BN710" t="s">
        <v>74</v>
      </c>
      <c r="BO710" t="s">
        <v>96</v>
      </c>
      <c r="BP710" t="s">
        <v>74</v>
      </c>
      <c r="BQ710" t="s">
        <v>74</v>
      </c>
      <c r="BR710" t="s">
        <v>97</v>
      </c>
      <c r="BS710" t="s">
        <v>10123</v>
      </c>
      <c r="BT710" t="str">
        <f>HYPERLINK("https%3A%2F%2Fwww.webofscience.com%2Fwos%2Fwoscc%2Ffull-record%2FWOS:000182819500001","View Full Record in Web of Science")</f>
        <v>View Full Record in Web of Science</v>
      </c>
    </row>
    <row r="711" spans="1:72" x14ac:dyDescent="0.15">
      <c r="A711" t="s">
        <v>72</v>
      </c>
      <c r="B711" t="s">
        <v>10124</v>
      </c>
      <c r="C711" t="s">
        <v>74</v>
      </c>
      <c r="D711" t="s">
        <v>74</v>
      </c>
      <c r="E711" t="s">
        <v>74</v>
      </c>
      <c r="F711" t="s">
        <v>10124</v>
      </c>
      <c r="G711" t="s">
        <v>74</v>
      </c>
      <c r="H711" t="s">
        <v>74</v>
      </c>
      <c r="I711" t="s">
        <v>10125</v>
      </c>
      <c r="J711" t="s">
        <v>530</v>
      </c>
      <c r="K711" t="s">
        <v>74</v>
      </c>
      <c r="L711" t="s">
        <v>74</v>
      </c>
      <c r="M711" t="s">
        <v>77</v>
      </c>
      <c r="N711" t="s">
        <v>78</v>
      </c>
      <c r="O711" t="s">
        <v>74</v>
      </c>
      <c r="P711" t="s">
        <v>74</v>
      </c>
      <c r="Q711" t="s">
        <v>74</v>
      </c>
      <c r="R711" t="s">
        <v>74</v>
      </c>
      <c r="S711" t="s">
        <v>74</v>
      </c>
      <c r="T711" t="s">
        <v>74</v>
      </c>
      <c r="U711" t="s">
        <v>10126</v>
      </c>
      <c r="V711" t="s">
        <v>10127</v>
      </c>
      <c r="W711" t="s">
        <v>10128</v>
      </c>
      <c r="X711" t="s">
        <v>10129</v>
      </c>
      <c r="Y711" t="s">
        <v>10130</v>
      </c>
      <c r="Z711" t="s">
        <v>74</v>
      </c>
      <c r="AA711" t="s">
        <v>74</v>
      </c>
      <c r="AB711" t="s">
        <v>10131</v>
      </c>
      <c r="AC711" t="s">
        <v>74</v>
      </c>
      <c r="AD711" t="s">
        <v>74</v>
      </c>
      <c r="AE711" t="s">
        <v>74</v>
      </c>
      <c r="AF711" t="s">
        <v>74</v>
      </c>
      <c r="AG711">
        <v>16</v>
      </c>
      <c r="AH711">
        <v>31</v>
      </c>
      <c r="AI711">
        <v>37</v>
      </c>
      <c r="AJ711">
        <v>0</v>
      </c>
      <c r="AK711">
        <v>3</v>
      </c>
      <c r="AL711" t="s">
        <v>539</v>
      </c>
      <c r="AM711" t="s">
        <v>540</v>
      </c>
      <c r="AN711" t="s">
        <v>541</v>
      </c>
      <c r="AO711" t="s">
        <v>542</v>
      </c>
      <c r="AP711" t="s">
        <v>543</v>
      </c>
      <c r="AQ711" t="s">
        <v>74</v>
      </c>
      <c r="AR711" t="s">
        <v>544</v>
      </c>
      <c r="AS711" t="s">
        <v>545</v>
      </c>
      <c r="AT711" t="s">
        <v>10132</v>
      </c>
      <c r="AU711">
        <v>2003</v>
      </c>
      <c r="AV711">
        <v>30</v>
      </c>
      <c r="AW711">
        <v>6</v>
      </c>
      <c r="AX711" t="s">
        <v>74</v>
      </c>
      <c r="AY711" t="s">
        <v>74</v>
      </c>
      <c r="AZ711" t="s">
        <v>74</v>
      </c>
      <c r="BA711" t="s">
        <v>74</v>
      </c>
      <c r="BB711" t="s">
        <v>74</v>
      </c>
      <c r="BC711" t="s">
        <v>74</v>
      </c>
      <c r="BD711">
        <v>1298</v>
      </c>
      <c r="BE711" t="s">
        <v>10133</v>
      </c>
      <c r="BF711" t="str">
        <f>HYPERLINK("http://dx.doi.org/10.1029/2002GL016441","http://dx.doi.org/10.1029/2002GL016441")</f>
        <v>http://dx.doi.org/10.1029/2002GL016441</v>
      </c>
      <c r="BG711" t="s">
        <v>74</v>
      </c>
      <c r="BH711" t="s">
        <v>74</v>
      </c>
      <c r="BI711">
        <v>4</v>
      </c>
      <c r="BJ711" t="s">
        <v>548</v>
      </c>
      <c r="BK711" t="s">
        <v>94</v>
      </c>
      <c r="BL711" t="s">
        <v>549</v>
      </c>
      <c r="BM711" t="s">
        <v>10134</v>
      </c>
      <c r="BN711" t="s">
        <v>74</v>
      </c>
      <c r="BO711" t="s">
        <v>7225</v>
      </c>
      <c r="BP711" t="s">
        <v>74</v>
      </c>
      <c r="BQ711" t="s">
        <v>74</v>
      </c>
      <c r="BR711" t="s">
        <v>97</v>
      </c>
      <c r="BS711" t="s">
        <v>10135</v>
      </c>
      <c r="BT711" t="str">
        <f>HYPERLINK("https%3A%2F%2Fwww.webofscience.com%2Fwos%2Fwoscc%2Ffull-record%2FWOS:000182220300005","View Full Record in Web of Science")</f>
        <v>View Full Record in Web of Science</v>
      </c>
    </row>
    <row r="712" spans="1:72" x14ac:dyDescent="0.15">
      <c r="A712" t="s">
        <v>72</v>
      </c>
      <c r="B712" t="s">
        <v>10136</v>
      </c>
      <c r="C712" t="s">
        <v>74</v>
      </c>
      <c r="D712" t="s">
        <v>74</v>
      </c>
      <c r="E712" t="s">
        <v>74</v>
      </c>
      <c r="F712" t="s">
        <v>10136</v>
      </c>
      <c r="G712" t="s">
        <v>74</v>
      </c>
      <c r="H712" t="s">
        <v>74</v>
      </c>
      <c r="I712" t="s">
        <v>10137</v>
      </c>
      <c r="J712" t="s">
        <v>5856</v>
      </c>
      <c r="K712" t="s">
        <v>74</v>
      </c>
      <c r="L712" t="s">
        <v>74</v>
      </c>
      <c r="M712" t="s">
        <v>77</v>
      </c>
      <c r="N712" t="s">
        <v>78</v>
      </c>
      <c r="O712" t="s">
        <v>74</v>
      </c>
      <c r="P712" t="s">
        <v>74</v>
      </c>
      <c r="Q712" t="s">
        <v>74</v>
      </c>
      <c r="R712" t="s">
        <v>74</v>
      </c>
      <c r="S712" t="s">
        <v>74</v>
      </c>
      <c r="T712" t="s">
        <v>10138</v>
      </c>
      <c r="U712" t="s">
        <v>10139</v>
      </c>
      <c r="V712" t="s">
        <v>10140</v>
      </c>
      <c r="W712" t="s">
        <v>705</v>
      </c>
      <c r="X712" t="s">
        <v>706</v>
      </c>
      <c r="Y712" t="s">
        <v>10141</v>
      </c>
      <c r="Z712" t="s">
        <v>10142</v>
      </c>
      <c r="AA712" t="s">
        <v>74</v>
      </c>
      <c r="AB712" t="s">
        <v>74</v>
      </c>
      <c r="AC712" t="s">
        <v>74</v>
      </c>
      <c r="AD712" t="s">
        <v>74</v>
      </c>
      <c r="AE712" t="s">
        <v>74</v>
      </c>
      <c r="AF712" t="s">
        <v>74</v>
      </c>
      <c r="AG712">
        <v>32</v>
      </c>
      <c r="AH712">
        <v>16</v>
      </c>
      <c r="AI712">
        <v>18</v>
      </c>
      <c r="AJ712">
        <v>1</v>
      </c>
      <c r="AK712">
        <v>15</v>
      </c>
      <c r="AL712" t="s">
        <v>963</v>
      </c>
      <c r="AM712" t="s">
        <v>964</v>
      </c>
      <c r="AN712" t="s">
        <v>965</v>
      </c>
      <c r="AO712" t="s">
        <v>5866</v>
      </c>
      <c r="AP712" t="s">
        <v>74</v>
      </c>
      <c r="AQ712" t="s">
        <v>74</v>
      </c>
      <c r="AR712" t="s">
        <v>5867</v>
      </c>
      <c r="AS712" t="s">
        <v>5868</v>
      </c>
      <c r="AT712" t="s">
        <v>10132</v>
      </c>
      <c r="AU712">
        <v>2003</v>
      </c>
      <c r="AV712">
        <v>270</v>
      </c>
      <c r="AW712">
        <v>1515</v>
      </c>
      <c r="AX712" t="s">
        <v>74</v>
      </c>
      <c r="AY712" t="s">
        <v>74</v>
      </c>
      <c r="AZ712" t="s">
        <v>74</v>
      </c>
      <c r="BA712" t="s">
        <v>74</v>
      </c>
      <c r="BB712">
        <v>557</v>
      </c>
      <c r="BC712">
        <v>562</v>
      </c>
      <c r="BD712" t="s">
        <v>74</v>
      </c>
      <c r="BE712" t="s">
        <v>10143</v>
      </c>
      <c r="BF712" t="str">
        <f>HYPERLINK("http://dx.doi.org/10.1098/rspb.2002.2274","http://dx.doi.org/10.1098/rspb.2002.2274")</f>
        <v>http://dx.doi.org/10.1098/rspb.2002.2274</v>
      </c>
      <c r="BG712" t="s">
        <v>74</v>
      </c>
      <c r="BH712" t="s">
        <v>74</v>
      </c>
      <c r="BI712">
        <v>6</v>
      </c>
      <c r="BJ712" t="s">
        <v>5871</v>
      </c>
      <c r="BK712" t="s">
        <v>94</v>
      </c>
      <c r="BL712" t="s">
        <v>5872</v>
      </c>
      <c r="BM712" t="s">
        <v>10144</v>
      </c>
      <c r="BN712">
        <v>12769453</v>
      </c>
      <c r="BO712" t="s">
        <v>154</v>
      </c>
      <c r="BP712" t="s">
        <v>74</v>
      </c>
      <c r="BQ712" t="s">
        <v>74</v>
      </c>
      <c r="BR712" t="s">
        <v>97</v>
      </c>
      <c r="BS712" t="s">
        <v>10145</v>
      </c>
      <c r="BT712" t="str">
        <f>HYPERLINK("https%3A%2F%2Fwww.webofscience.com%2Fwos%2Fwoscc%2Ffull-record%2FWOS:000181769800001","View Full Record in Web of Science")</f>
        <v>View Full Record in Web of Science</v>
      </c>
    </row>
    <row r="713" spans="1:72" x14ac:dyDescent="0.15">
      <c r="A713" t="s">
        <v>72</v>
      </c>
      <c r="B713" t="s">
        <v>10146</v>
      </c>
      <c r="C713" t="s">
        <v>74</v>
      </c>
      <c r="D713" t="s">
        <v>74</v>
      </c>
      <c r="E713" t="s">
        <v>74</v>
      </c>
      <c r="F713" t="s">
        <v>10146</v>
      </c>
      <c r="G713" t="s">
        <v>74</v>
      </c>
      <c r="H713" t="s">
        <v>74</v>
      </c>
      <c r="I713" t="s">
        <v>10147</v>
      </c>
      <c r="J713" t="s">
        <v>4474</v>
      </c>
      <c r="K713" t="s">
        <v>74</v>
      </c>
      <c r="L713" t="s">
        <v>74</v>
      </c>
      <c r="M713" t="s">
        <v>77</v>
      </c>
      <c r="N713" t="s">
        <v>78</v>
      </c>
      <c r="O713" t="s">
        <v>74</v>
      </c>
      <c r="P713" t="s">
        <v>74</v>
      </c>
      <c r="Q713" t="s">
        <v>74</v>
      </c>
      <c r="R713" t="s">
        <v>74</v>
      </c>
      <c r="S713" t="s">
        <v>74</v>
      </c>
      <c r="T713" t="s">
        <v>74</v>
      </c>
      <c r="U713" t="s">
        <v>10148</v>
      </c>
      <c r="V713" t="s">
        <v>10149</v>
      </c>
      <c r="W713" t="s">
        <v>10150</v>
      </c>
      <c r="X713" t="s">
        <v>2886</v>
      </c>
      <c r="Y713" t="s">
        <v>74</v>
      </c>
      <c r="Z713" t="s">
        <v>10151</v>
      </c>
      <c r="AA713" t="s">
        <v>2889</v>
      </c>
      <c r="AB713" t="s">
        <v>2890</v>
      </c>
      <c r="AC713" t="s">
        <v>74</v>
      </c>
      <c r="AD713" t="s">
        <v>74</v>
      </c>
      <c r="AE713" t="s">
        <v>74</v>
      </c>
      <c r="AF713" t="s">
        <v>74</v>
      </c>
      <c r="AG713">
        <v>37</v>
      </c>
      <c r="AH713">
        <v>76</v>
      </c>
      <c r="AI713">
        <v>88</v>
      </c>
      <c r="AJ713">
        <v>2</v>
      </c>
      <c r="AK713">
        <v>22</v>
      </c>
      <c r="AL713" t="s">
        <v>6072</v>
      </c>
      <c r="AM713" t="s">
        <v>6073</v>
      </c>
      <c r="AN713" t="s">
        <v>6074</v>
      </c>
      <c r="AO713" t="s">
        <v>6075</v>
      </c>
      <c r="AP713" t="s">
        <v>4480</v>
      </c>
      <c r="AQ713" t="s">
        <v>74</v>
      </c>
      <c r="AR713" t="s">
        <v>4481</v>
      </c>
      <c r="AS713" t="s">
        <v>4482</v>
      </c>
      <c r="AT713" t="s">
        <v>10152</v>
      </c>
      <c r="AU713">
        <v>2003</v>
      </c>
      <c r="AV713">
        <v>3</v>
      </c>
      <c r="AW713" t="s">
        <v>74</v>
      </c>
      <c r="AX713" t="s">
        <v>74</v>
      </c>
      <c r="AY713" t="s">
        <v>74</v>
      </c>
      <c r="AZ713" t="s">
        <v>74</v>
      </c>
      <c r="BA713" t="s">
        <v>74</v>
      </c>
      <c r="BB713">
        <v>315</v>
      </c>
      <c r="BC713">
        <v>323</v>
      </c>
      <c r="BD713" t="s">
        <v>74</v>
      </c>
      <c r="BE713" t="s">
        <v>74</v>
      </c>
      <c r="BF713" t="s">
        <v>74</v>
      </c>
      <c r="BG713" t="s">
        <v>74</v>
      </c>
      <c r="BH713" t="s">
        <v>74</v>
      </c>
      <c r="BI713">
        <v>9</v>
      </c>
      <c r="BJ713" t="s">
        <v>4485</v>
      </c>
      <c r="BK713" t="s">
        <v>94</v>
      </c>
      <c r="BL713" t="s">
        <v>4486</v>
      </c>
      <c r="BM713" t="s">
        <v>10153</v>
      </c>
      <c r="BN713" t="s">
        <v>74</v>
      </c>
      <c r="BO713" t="s">
        <v>3126</v>
      </c>
      <c r="BP713" t="s">
        <v>74</v>
      </c>
      <c r="BQ713" t="s">
        <v>74</v>
      </c>
      <c r="BR713" t="s">
        <v>97</v>
      </c>
      <c r="BS713" t="s">
        <v>10154</v>
      </c>
      <c r="BT713" t="str">
        <f>HYPERLINK("https%3A%2F%2Fwww.webofscience.com%2Fwos%2Fwoscc%2Ffull-record%2FWOS:000181716900002","View Full Record in Web of Science")</f>
        <v>View Full Record in Web of Science</v>
      </c>
    </row>
    <row r="714" spans="1:72" x14ac:dyDescent="0.15">
      <c r="A714" t="s">
        <v>72</v>
      </c>
      <c r="B714" t="s">
        <v>10155</v>
      </c>
      <c r="C714" t="s">
        <v>74</v>
      </c>
      <c r="D714" t="s">
        <v>74</v>
      </c>
      <c r="E714" t="s">
        <v>74</v>
      </c>
      <c r="F714" t="s">
        <v>10155</v>
      </c>
      <c r="G714" t="s">
        <v>74</v>
      </c>
      <c r="H714" t="s">
        <v>74</v>
      </c>
      <c r="I714" t="s">
        <v>10156</v>
      </c>
      <c r="J714" t="s">
        <v>578</v>
      </c>
      <c r="K714" t="s">
        <v>74</v>
      </c>
      <c r="L714" t="s">
        <v>74</v>
      </c>
      <c r="M714" t="s">
        <v>77</v>
      </c>
      <c r="N714" t="s">
        <v>78</v>
      </c>
      <c r="O714" t="s">
        <v>74</v>
      </c>
      <c r="P714" t="s">
        <v>74</v>
      </c>
      <c r="Q714" t="s">
        <v>74</v>
      </c>
      <c r="R714" t="s">
        <v>74</v>
      </c>
      <c r="S714" t="s">
        <v>74</v>
      </c>
      <c r="T714" t="s">
        <v>10157</v>
      </c>
      <c r="U714" t="s">
        <v>10158</v>
      </c>
      <c r="V714" t="s">
        <v>10159</v>
      </c>
      <c r="W714" t="s">
        <v>10160</v>
      </c>
      <c r="X714" t="s">
        <v>10161</v>
      </c>
      <c r="Y714" t="s">
        <v>74</v>
      </c>
      <c r="Z714" t="s">
        <v>10162</v>
      </c>
      <c r="AA714" t="s">
        <v>74</v>
      </c>
      <c r="AB714" t="s">
        <v>74</v>
      </c>
      <c r="AC714" t="s">
        <v>74</v>
      </c>
      <c r="AD714" t="s">
        <v>74</v>
      </c>
      <c r="AE714" t="s">
        <v>74</v>
      </c>
      <c r="AF714" t="s">
        <v>74</v>
      </c>
      <c r="AG714">
        <v>25</v>
      </c>
      <c r="AH714">
        <v>33</v>
      </c>
      <c r="AI714">
        <v>33</v>
      </c>
      <c r="AJ714">
        <v>0</v>
      </c>
      <c r="AK714">
        <v>2</v>
      </c>
      <c r="AL714" t="s">
        <v>539</v>
      </c>
      <c r="AM714" t="s">
        <v>540</v>
      </c>
      <c r="AN714" t="s">
        <v>541</v>
      </c>
      <c r="AO714" t="s">
        <v>588</v>
      </c>
      <c r="AP714" t="s">
        <v>605</v>
      </c>
      <c r="AQ714" t="s">
        <v>74</v>
      </c>
      <c r="AR714" t="s">
        <v>589</v>
      </c>
      <c r="AS714" t="s">
        <v>590</v>
      </c>
      <c r="AT714" t="s">
        <v>10163</v>
      </c>
      <c r="AU714">
        <v>2003</v>
      </c>
      <c r="AV714">
        <v>108</v>
      </c>
      <c r="AW714" t="s">
        <v>8835</v>
      </c>
      <c r="AX714" t="s">
        <v>74</v>
      </c>
      <c r="AY714" t="s">
        <v>74</v>
      </c>
      <c r="AZ714" t="s">
        <v>74</v>
      </c>
      <c r="BA714" t="s">
        <v>74</v>
      </c>
      <c r="BB714" t="s">
        <v>74</v>
      </c>
      <c r="BC714" t="s">
        <v>74</v>
      </c>
      <c r="BD714">
        <v>8448</v>
      </c>
      <c r="BE714" t="s">
        <v>10164</v>
      </c>
      <c r="BF714" t="str">
        <f>HYPERLINK("http://dx.doi.org/10.1029/2002JD002414","http://dx.doi.org/10.1029/2002JD002414")</f>
        <v>http://dx.doi.org/10.1029/2002JD002414</v>
      </c>
      <c r="BG714" t="s">
        <v>74</v>
      </c>
      <c r="BH714" t="s">
        <v>74</v>
      </c>
      <c r="BI714">
        <v>8</v>
      </c>
      <c r="BJ714" t="s">
        <v>93</v>
      </c>
      <c r="BK714" t="s">
        <v>94</v>
      </c>
      <c r="BL714" t="s">
        <v>93</v>
      </c>
      <c r="BM714" t="s">
        <v>10165</v>
      </c>
      <c r="BN714" t="s">
        <v>74</v>
      </c>
      <c r="BO714" t="s">
        <v>96</v>
      </c>
      <c r="BP714" t="s">
        <v>74</v>
      </c>
      <c r="BQ714" t="s">
        <v>74</v>
      </c>
      <c r="BR714" t="s">
        <v>97</v>
      </c>
      <c r="BS714" t="s">
        <v>10166</v>
      </c>
      <c r="BT714" t="str">
        <f>HYPERLINK("https%3A%2F%2Fwww.webofscience.com%2Fwos%2Fwoscc%2Ffull-record%2FWOS:000182223600001","View Full Record in Web of Science")</f>
        <v>View Full Record in Web of Science</v>
      </c>
    </row>
    <row r="715" spans="1:72" x14ac:dyDescent="0.15">
      <c r="A715" t="s">
        <v>72</v>
      </c>
      <c r="B715" t="s">
        <v>10167</v>
      </c>
      <c r="C715" t="s">
        <v>74</v>
      </c>
      <c r="D715" t="s">
        <v>74</v>
      </c>
      <c r="E715" t="s">
        <v>74</v>
      </c>
      <c r="F715" t="s">
        <v>10167</v>
      </c>
      <c r="G715" t="s">
        <v>74</v>
      </c>
      <c r="H715" t="s">
        <v>74</v>
      </c>
      <c r="I715" t="s">
        <v>10168</v>
      </c>
      <c r="J715" t="s">
        <v>530</v>
      </c>
      <c r="K715" t="s">
        <v>74</v>
      </c>
      <c r="L715" t="s">
        <v>74</v>
      </c>
      <c r="M715" t="s">
        <v>77</v>
      </c>
      <c r="N715" t="s">
        <v>78</v>
      </c>
      <c r="O715" t="s">
        <v>74</v>
      </c>
      <c r="P715" t="s">
        <v>74</v>
      </c>
      <c r="Q715" t="s">
        <v>74</v>
      </c>
      <c r="R715" t="s">
        <v>74</v>
      </c>
      <c r="S715" t="s">
        <v>74</v>
      </c>
      <c r="T715" t="s">
        <v>74</v>
      </c>
      <c r="U715" t="s">
        <v>10169</v>
      </c>
      <c r="V715" t="s">
        <v>10170</v>
      </c>
      <c r="W715" t="s">
        <v>10171</v>
      </c>
      <c r="X715" t="s">
        <v>10172</v>
      </c>
      <c r="Y715" t="s">
        <v>10173</v>
      </c>
      <c r="Z715" t="s">
        <v>10174</v>
      </c>
      <c r="AA715" t="s">
        <v>2946</v>
      </c>
      <c r="AB715" t="s">
        <v>10175</v>
      </c>
      <c r="AC715" t="s">
        <v>74</v>
      </c>
      <c r="AD715" t="s">
        <v>74</v>
      </c>
      <c r="AE715" t="s">
        <v>74</v>
      </c>
      <c r="AF715" t="s">
        <v>74</v>
      </c>
      <c r="AG715">
        <v>26</v>
      </c>
      <c r="AH715">
        <v>150</v>
      </c>
      <c r="AI715">
        <v>169</v>
      </c>
      <c r="AJ715">
        <v>0</v>
      </c>
      <c r="AK715">
        <v>32</v>
      </c>
      <c r="AL715" t="s">
        <v>539</v>
      </c>
      <c r="AM715" t="s">
        <v>540</v>
      </c>
      <c r="AN715" t="s">
        <v>541</v>
      </c>
      <c r="AO715" t="s">
        <v>542</v>
      </c>
      <c r="AP715" t="s">
        <v>543</v>
      </c>
      <c r="AQ715" t="s">
        <v>74</v>
      </c>
      <c r="AR715" t="s">
        <v>544</v>
      </c>
      <c r="AS715" t="s">
        <v>545</v>
      </c>
      <c r="AT715" t="s">
        <v>10176</v>
      </c>
      <c r="AU715">
        <v>2003</v>
      </c>
      <c r="AV715">
        <v>30</v>
      </c>
      <c r="AW715">
        <v>6</v>
      </c>
      <c r="AX715" t="s">
        <v>74</v>
      </c>
      <c r="AY715" t="s">
        <v>74</v>
      </c>
      <c r="AZ715" t="s">
        <v>74</v>
      </c>
      <c r="BA715" t="s">
        <v>74</v>
      </c>
      <c r="BB715" t="s">
        <v>74</v>
      </c>
      <c r="BC715" t="s">
        <v>74</v>
      </c>
      <c r="BD715">
        <v>1277</v>
      </c>
      <c r="BE715" t="s">
        <v>10177</v>
      </c>
      <c r="BF715" t="str">
        <f>HYPERLINK("http://dx.doi.org/10.1029/2002GL016833","http://dx.doi.org/10.1029/2002GL016833")</f>
        <v>http://dx.doi.org/10.1029/2002GL016833</v>
      </c>
      <c r="BG715" t="s">
        <v>74</v>
      </c>
      <c r="BH715" t="s">
        <v>74</v>
      </c>
      <c r="BI715">
        <v>4</v>
      </c>
      <c r="BJ715" t="s">
        <v>548</v>
      </c>
      <c r="BK715" t="s">
        <v>94</v>
      </c>
      <c r="BL715" t="s">
        <v>549</v>
      </c>
      <c r="BM715" t="s">
        <v>10178</v>
      </c>
      <c r="BN715" t="s">
        <v>74</v>
      </c>
      <c r="BO715" t="s">
        <v>96</v>
      </c>
      <c r="BP715" t="s">
        <v>74</v>
      </c>
      <c r="BQ715" t="s">
        <v>74</v>
      </c>
      <c r="BR715" t="s">
        <v>97</v>
      </c>
      <c r="BS715" t="s">
        <v>10179</v>
      </c>
      <c r="BT715" t="str">
        <f>HYPERLINK("https%3A%2F%2Fwww.webofscience.com%2Fwos%2Fwoscc%2Ffull-record%2FWOS:000182219500008","View Full Record in Web of Science")</f>
        <v>View Full Record in Web of Science</v>
      </c>
    </row>
    <row r="716" spans="1:72" x14ac:dyDescent="0.15">
      <c r="A716" t="s">
        <v>72</v>
      </c>
      <c r="B716" t="s">
        <v>10180</v>
      </c>
      <c r="C716" t="s">
        <v>74</v>
      </c>
      <c r="D716" t="s">
        <v>74</v>
      </c>
      <c r="E716" t="s">
        <v>74</v>
      </c>
      <c r="F716" t="s">
        <v>10180</v>
      </c>
      <c r="G716" t="s">
        <v>74</v>
      </c>
      <c r="H716" t="s">
        <v>74</v>
      </c>
      <c r="I716" t="s">
        <v>10181</v>
      </c>
      <c r="J716" t="s">
        <v>613</v>
      </c>
      <c r="K716" t="s">
        <v>74</v>
      </c>
      <c r="L716" t="s">
        <v>74</v>
      </c>
      <c r="M716" t="s">
        <v>77</v>
      </c>
      <c r="N716" t="s">
        <v>78</v>
      </c>
      <c r="O716" t="s">
        <v>74</v>
      </c>
      <c r="P716" t="s">
        <v>74</v>
      </c>
      <c r="Q716" t="s">
        <v>74</v>
      </c>
      <c r="R716" t="s">
        <v>74</v>
      </c>
      <c r="S716" t="s">
        <v>74</v>
      </c>
      <c r="T716" t="s">
        <v>10182</v>
      </c>
      <c r="U716" t="s">
        <v>10183</v>
      </c>
      <c r="V716" t="s">
        <v>10184</v>
      </c>
      <c r="W716" t="s">
        <v>370</v>
      </c>
      <c r="X716" t="s">
        <v>371</v>
      </c>
      <c r="Y716" t="s">
        <v>10185</v>
      </c>
      <c r="Z716" t="s">
        <v>10186</v>
      </c>
      <c r="AA716" t="s">
        <v>74</v>
      </c>
      <c r="AB716" t="s">
        <v>74</v>
      </c>
      <c r="AC716" t="s">
        <v>74</v>
      </c>
      <c r="AD716" t="s">
        <v>74</v>
      </c>
      <c r="AE716" t="s">
        <v>74</v>
      </c>
      <c r="AF716" t="s">
        <v>74</v>
      </c>
      <c r="AG716">
        <v>78</v>
      </c>
      <c r="AH716">
        <v>61</v>
      </c>
      <c r="AI716">
        <v>65</v>
      </c>
      <c r="AJ716">
        <v>0</v>
      </c>
      <c r="AK716">
        <v>6</v>
      </c>
      <c r="AL716" t="s">
        <v>539</v>
      </c>
      <c r="AM716" t="s">
        <v>540</v>
      </c>
      <c r="AN716" t="s">
        <v>541</v>
      </c>
      <c r="AO716" t="s">
        <v>621</v>
      </c>
      <c r="AP716" t="s">
        <v>622</v>
      </c>
      <c r="AQ716" t="s">
        <v>74</v>
      </c>
      <c r="AR716" t="s">
        <v>613</v>
      </c>
      <c r="AS716" t="s">
        <v>623</v>
      </c>
      <c r="AT716" t="s">
        <v>10176</v>
      </c>
      <c r="AU716">
        <v>2003</v>
      </c>
      <c r="AV716">
        <v>18</v>
      </c>
      <c r="AW716">
        <v>1</v>
      </c>
      <c r="AX716" t="s">
        <v>74</v>
      </c>
      <c r="AY716" t="s">
        <v>74</v>
      </c>
      <c r="AZ716" t="s">
        <v>74</v>
      </c>
      <c r="BA716" t="s">
        <v>74</v>
      </c>
      <c r="BB716" t="s">
        <v>74</v>
      </c>
      <c r="BC716" t="s">
        <v>74</v>
      </c>
      <c r="BD716">
        <v>1014</v>
      </c>
      <c r="BE716" t="s">
        <v>10187</v>
      </c>
      <c r="BF716" t="str">
        <f>HYPERLINK("http://dx.doi.org/10.1029/2000PA000576","http://dx.doi.org/10.1029/2000PA000576")</f>
        <v>http://dx.doi.org/10.1029/2000PA000576</v>
      </c>
      <c r="BG716" t="s">
        <v>74</v>
      </c>
      <c r="BH716" t="s">
        <v>74</v>
      </c>
      <c r="BI716">
        <v>14</v>
      </c>
      <c r="BJ716" t="s">
        <v>625</v>
      </c>
      <c r="BK716" t="s">
        <v>94</v>
      </c>
      <c r="BL716" t="s">
        <v>626</v>
      </c>
      <c r="BM716" t="s">
        <v>10188</v>
      </c>
      <c r="BN716" t="s">
        <v>74</v>
      </c>
      <c r="BO716" t="s">
        <v>141</v>
      </c>
      <c r="BP716" t="s">
        <v>74</v>
      </c>
      <c r="BQ716" t="s">
        <v>74</v>
      </c>
      <c r="BR716" t="s">
        <v>97</v>
      </c>
      <c r="BS716" t="s">
        <v>10189</v>
      </c>
      <c r="BT716" t="str">
        <f>HYPERLINK("https%3A%2F%2Fwww.webofscience.com%2Fwos%2Fwoscc%2Ffull-record%2FWOS:000182229400001","View Full Record in Web of Science")</f>
        <v>View Full Record in Web of Science</v>
      </c>
    </row>
    <row r="717" spans="1:72" x14ac:dyDescent="0.15">
      <c r="A717" t="s">
        <v>72</v>
      </c>
      <c r="B717" t="s">
        <v>10190</v>
      </c>
      <c r="C717" t="s">
        <v>74</v>
      </c>
      <c r="D717" t="s">
        <v>74</v>
      </c>
      <c r="E717" t="s">
        <v>74</v>
      </c>
      <c r="F717" t="s">
        <v>10190</v>
      </c>
      <c r="G717" t="s">
        <v>74</v>
      </c>
      <c r="H717" t="s">
        <v>74</v>
      </c>
      <c r="I717" t="s">
        <v>10191</v>
      </c>
      <c r="J717" t="s">
        <v>665</v>
      </c>
      <c r="K717" t="s">
        <v>74</v>
      </c>
      <c r="L717" t="s">
        <v>74</v>
      </c>
      <c r="M717" t="s">
        <v>77</v>
      </c>
      <c r="N717" t="s">
        <v>78</v>
      </c>
      <c r="O717" t="s">
        <v>74</v>
      </c>
      <c r="P717" t="s">
        <v>74</v>
      </c>
      <c r="Q717" t="s">
        <v>74</v>
      </c>
      <c r="R717" t="s">
        <v>74</v>
      </c>
      <c r="S717" t="s">
        <v>74</v>
      </c>
      <c r="T717" t="s">
        <v>10192</v>
      </c>
      <c r="U717" t="s">
        <v>10193</v>
      </c>
      <c r="V717" t="s">
        <v>10194</v>
      </c>
      <c r="W717" t="s">
        <v>10195</v>
      </c>
      <c r="X717" t="s">
        <v>8760</v>
      </c>
      <c r="Y717" t="s">
        <v>10196</v>
      </c>
      <c r="Z717" t="s">
        <v>10197</v>
      </c>
      <c r="AA717" t="s">
        <v>10198</v>
      </c>
      <c r="AB717" t="s">
        <v>10199</v>
      </c>
      <c r="AC717" t="s">
        <v>74</v>
      </c>
      <c r="AD717" t="s">
        <v>74</v>
      </c>
      <c r="AE717" t="s">
        <v>74</v>
      </c>
      <c r="AF717" t="s">
        <v>74</v>
      </c>
      <c r="AG717">
        <v>58</v>
      </c>
      <c r="AH717">
        <v>3</v>
      </c>
      <c r="AI717">
        <v>5</v>
      </c>
      <c r="AJ717">
        <v>0</v>
      </c>
      <c r="AK717">
        <v>2</v>
      </c>
      <c r="AL717" t="s">
        <v>539</v>
      </c>
      <c r="AM717" t="s">
        <v>540</v>
      </c>
      <c r="AN717" t="s">
        <v>541</v>
      </c>
      <c r="AO717" t="s">
        <v>672</v>
      </c>
      <c r="AP717" t="s">
        <v>673</v>
      </c>
      <c r="AQ717" t="s">
        <v>74</v>
      </c>
      <c r="AR717" t="s">
        <v>674</v>
      </c>
      <c r="AS717" t="s">
        <v>675</v>
      </c>
      <c r="AT717" t="s">
        <v>10200</v>
      </c>
      <c r="AU717">
        <v>2003</v>
      </c>
      <c r="AV717">
        <v>108</v>
      </c>
      <c r="AW717" t="s">
        <v>10066</v>
      </c>
      <c r="AX717" t="s">
        <v>74</v>
      </c>
      <c r="AY717" t="s">
        <v>74</v>
      </c>
      <c r="AZ717" t="s">
        <v>74</v>
      </c>
      <c r="BA717" t="s">
        <v>74</v>
      </c>
      <c r="BB717" t="s">
        <v>74</v>
      </c>
      <c r="BC717" t="s">
        <v>74</v>
      </c>
      <c r="BD717">
        <v>3087</v>
      </c>
      <c r="BE717" t="s">
        <v>10201</v>
      </c>
      <c r="BF717" t="str">
        <f>HYPERLINK("http://dx.doi.org/10.1029/2000JC000474","http://dx.doi.org/10.1029/2000JC000474")</f>
        <v>http://dx.doi.org/10.1029/2000JC000474</v>
      </c>
      <c r="BG717" t="s">
        <v>74</v>
      </c>
      <c r="BH717" t="s">
        <v>74</v>
      </c>
      <c r="BI717">
        <v>18</v>
      </c>
      <c r="BJ717" t="s">
        <v>678</v>
      </c>
      <c r="BK717" t="s">
        <v>94</v>
      </c>
      <c r="BL717" t="s">
        <v>678</v>
      </c>
      <c r="BM717" t="s">
        <v>10202</v>
      </c>
      <c r="BN717" t="s">
        <v>74</v>
      </c>
      <c r="BO717" t="s">
        <v>96</v>
      </c>
      <c r="BP717" t="s">
        <v>74</v>
      </c>
      <c r="BQ717" t="s">
        <v>74</v>
      </c>
      <c r="BR717" t="s">
        <v>97</v>
      </c>
      <c r="BS717" t="s">
        <v>10203</v>
      </c>
      <c r="BT717" t="str">
        <f>HYPERLINK("https%3A%2F%2Fwww.webofscience.com%2Fwos%2Fwoscc%2Ffull-record%2FWOS:000182224000001","View Full Record in Web of Science")</f>
        <v>View Full Record in Web of Science</v>
      </c>
    </row>
    <row r="718" spans="1:72" x14ac:dyDescent="0.15">
      <c r="A718" t="s">
        <v>72</v>
      </c>
      <c r="B718" t="s">
        <v>10204</v>
      </c>
      <c r="C718" t="s">
        <v>74</v>
      </c>
      <c r="D718" t="s">
        <v>74</v>
      </c>
      <c r="E718" t="s">
        <v>74</v>
      </c>
      <c r="F718" t="s">
        <v>10204</v>
      </c>
      <c r="G718" t="s">
        <v>74</v>
      </c>
      <c r="H718" t="s">
        <v>74</v>
      </c>
      <c r="I718" t="s">
        <v>10205</v>
      </c>
      <c r="J718" t="s">
        <v>10206</v>
      </c>
      <c r="K718" t="s">
        <v>74</v>
      </c>
      <c r="L718" t="s">
        <v>74</v>
      </c>
      <c r="M718" t="s">
        <v>77</v>
      </c>
      <c r="N718" t="s">
        <v>52</v>
      </c>
      <c r="O718" t="s">
        <v>10207</v>
      </c>
      <c r="P718" t="s">
        <v>10208</v>
      </c>
      <c r="Q718" t="s">
        <v>10209</v>
      </c>
      <c r="R718" t="s">
        <v>74</v>
      </c>
      <c r="S718" t="s">
        <v>74</v>
      </c>
      <c r="T718" t="s">
        <v>74</v>
      </c>
      <c r="U718" t="s">
        <v>74</v>
      </c>
      <c r="V718" t="s">
        <v>74</v>
      </c>
      <c r="W718" t="s">
        <v>10210</v>
      </c>
      <c r="X718" t="s">
        <v>10211</v>
      </c>
      <c r="Y718" t="s">
        <v>74</v>
      </c>
      <c r="Z718" t="s">
        <v>74</v>
      </c>
      <c r="AA718" t="s">
        <v>74</v>
      </c>
      <c r="AB718" t="s">
        <v>74</v>
      </c>
      <c r="AC718" t="s">
        <v>74</v>
      </c>
      <c r="AD718" t="s">
        <v>74</v>
      </c>
      <c r="AE718" t="s">
        <v>74</v>
      </c>
      <c r="AF718" t="s">
        <v>74</v>
      </c>
      <c r="AG718">
        <v>0</v>
      </c>
      <c r="AH718">
        <v>0</v>
      </c>
      <c r="AI718">
        <v>0</v>
      </c>
      <c r="AJ718">
        <v>0</v>
      </c>
      <c r="AK718">
        <v>0</v>
      </c>
      <c r="AL718" t="s">
        <v>10212</v>
      </c>
      <c r="AM718" t="s">
        <v>2702</v>
      </c>
      <c r="AN718" t="s">
        <v>10213</v>
      </c>
      <c r="AO718" t="s">
        <v>10214</v>
      </c>
      <c r="AP718" t="s">
        <v>74</v>
      </c>
      <c r="AQ718" t="s">
        <v>74</v>
      </c>
      <c r="AR718" t="s">
        <v>10215</v>
      </c>
      <c r="AS718" t="s">
        <v>10216</v>
      </c>
      <c r="AT718" t="s">
        <v>10217</v>
      </c>
      <c r="AU718">
        <v>2003</v>
      </c>
      <c r="AV718">
        <v>17</v>
      </c>
      <c r="AW718">
        <v>5</v>
      </c>
      <c r="AX718">
        <v>2</v>
      </c>
      <c r="AY718" t="s">
        <v>5377</v>
      </c>
      <c r="AZ718" t="s">
        <v>74</v>
      </c>
      <c r="BA718" t="s">
        <v>74</v>
      </c>
      <c r="BB718" t="s">
        <v>10218</v>
      </c>
      <c r="BC718" t="s">
        <v>10218</v>
      </c>
      <c r="BD718" t="s">
        <v>74</v>
      </c>
      <c r="BE718" t="s">
        <v>74</v>
      </c>
      <c r="BF718" t="s">
        <v>74</v>
      </c>
      <c r="BG718" t="s">
        <v>74</v>
      </c>
      <c r="BH718" t="s">
        <v>74</v>
      </c>
      <c r="BI718">
        <v>1</v>
      </c>
      <c r="BJ718" t="s">
        <v>10219</v>
      </c>
      <c r="BK718" t="s">
        <v>854</v>
      </c>
      <c r="BL718" t="s">
        <v>10220</v>
      </c>
      <c r="BM718" t="s">
        <v>10221</v>
      </c>
      <c r="BN718" t="s">
        <v>74</v>
      </c>
      <c r="BO718" t="s">
        <v>74</v>
      </c>
      <c r="BP718" t="s">
        <v>74</v>
      </c>
      <c r="BQ718" t="s">
        <v>74</v>
      </c>
      <c r="BR718" t="s">
        <v>97</v>
      </c>
      <c r="BS718" t="s">
        <v>10222</v>
      </c>
      <c r="BT718" t="str">
        <f>HYPERLINK("https%3A%2F%2Fwww.webofscience.com%2Fwos%2Fwoscc%2Ffull-record%2FWOS:000181796902422","View Full Record in Web of Science")</f>
        <v>View Full Record in Web of Science</v>
      </c>
    </row>
    <row r="719" spans="1:72" x14ac:dyDescent="0.15">
      <c r="A719" t="s">
        <v>72</v>
      </c>
      <c r="B719" t="s">
        <v>10223</v>
      </c>
      <c r="C719" t="s">
        <v>74</v>
      </c>
      <c r="D719" t="s">
        <v>74</v>
      </c>
      <c r="E719" t="s">
        <v>74</v>
      </c>
      <c r="F719" t="s">
        <v>10223</v>
      </c>
      <c r="G719" t="s">
        <v>74</v>
      </c>
      <c r="H719" t="s">
        <v>74</v>
      </c>
      <c r="I719" t="s">
        <v>10224</v>
      </c>
      <c r="J719" t="s">
        <v>10225</v>
      </c>
      <c r="K719" t="s">
        <v>74</v>
      </c>
      <c r="L719" t="s">
        <v>74</v>
      </c>
      <c r="M719" t="s">
        <v>77</v>
      </c>
      <c r="N719" t="s">
        <v>7189</v>
      </c>
      <c r="O719" t="s">
        <v>74</v>
      </c>
      <c r="P719" t="s">
        <v>74</v>
      </c>
      <c r="Q719" t="s">
        <v>74</v>
      </c>
      <c r="R719" t="s">
        <v>74</v>
      </c>
      <c r="S719" t="s">
        <v>74</v>
      </c>
      <c r="T719" t="s">
        <v>74</v>
      </c>
      <c r="U719" t="s">
        <v>74</v>
      </c>
      <c r="V719" t="s">
        <v>74</v>
      </c>
      <c r="W719" t="s">
        <v>74</v>
      </c>
      <c r="X719" t="s">
        <v>74</v>
      </c>
      <c r="Y719" t="s">
        <v>74</v>
      </c>
      <c r="Z719" t="s">
        <v>74</v>
      </c>
      <c r="AA719" t="s">
        <v>74</v>
      </c>
      <c r="AB719" t="s">
        <v>74</v>
      </c>
      <c r="AC719" t="s">
        <v>74</v>
      </c>
      <c r="AD719" t="s">
        <v>74</v>
      </c>
      <c r="AE719" t="s">
        <v>74</v>
      </c>
      <c r="AF719" t="s">
        <v>74</v>
      </c>
      <c r="AG719">
        <v>1</v>
      </c>
      <c r="AH719">
        <v>0</v>
      </c>
      <c r="AI719">
        <v>0</v>
      </c>
      <c r="AJ719">
        <v>0</v>
      </c>
      <c r="AK719">
        <v>0</v>
      </c>
      <c r="AL719" t="s">
        <v>10226</v>
      </c>
      <c r="AM719" t="s">
        <v>229</v>
      </c>
      <c r="AN719" t="s">
        <v>10227</v>
      </c>
      <c r="AO719" t="s">
        <v>10228</v>
      </c>
      <c r="AP719" t="s">
        <v>74</v>
      </c>
      <c r="AQ719" t="s">
        <v>74</v>
      </c>
      <c r="AR719" t="s">
        <v>10229</v>
      </c>
      <c r="AS719" t="s">
        <v>10230</v>
      </c>
      <c r="AT719" t="s">
        <v>10231</v>
      </c>
      <c r="AU719">
        <v>2003</v>
      </c>
      <c r="AV719">
        <v>128</v>
      </c>
      <c r="AW719">
        <v>5</v>
      </c>
      <c r="AX719" t="s">
        <v>74</v>
      </c>
      <c r="AY719" t="s">
        <v>74</v>
      </c>
      <c r="AZ719" t="s">
        <v>74</v>
      </c>
      <c r="BA719" t="s">
        <v>74</v>
      </c>
      <c r="BB719">
        <v>122</v>
      </c>
      <c r="BC719">
        <v>122</v>
      </c>
      <c r="BD719" t="s">
        <v>74</v>
      </c>
      <c r="BE719" t="s">
        <v>74</v>
      </c>
      <c r="BF719" t="s">
        <v>74</v>
      </c>
      <c r="BG719" t="s">
        <v>74</v>
      </c>
      <c r="BH719" t="s">
        <v>74</v>
      </c>
      <c r="BI719">
        <v>1</v>
      </c>
      <c r="BJ719" t="s">
        <v>10232</v>
      </c>
      <c r="BK719" t="s">
        <v>7200</v>
      </c>
      <c r="BL719" t="s">
        <v>10232</v>
      </c>
      <c r="BM719" t="s">
        <v>10233</v>
      </c>
      <c r="BN719" t="s">
        <v>74</v>
      </c>
      <c r="BO719" t="s">
        <v>74</v>
      </c>
      <c r="BP719" t="s">
        <v>74</v>
      </c>
      <c r="BQ719" t="s">
        <v>74</v>
      </c>
      <c r="BR719" t="s">
        <v>97</v>
      </c>
      <c r="BS719" t="s">
        <v>10234</v>
      </c>
      <c r="BT719" t="str">
        <f>HYPERLINK("https%3A%2F%2Fwww.webofscience.com%2Fwos%2Fwoscc%2Ffull-record%2FWOS:000182523300236","View Full Record in Web of Science")</f>
        <v>View Full Record in Web of Science</v>
      </c>
    </row>
    <row r="720" spans="1:72" x14ac:dyDescent="0.15">
      <c r="A720" t="s">
        <v>72</v>
      </c>
      <c r="B720" t="s">
        <v>10235</v>
      </c>
      <c r="C720" t="s">
        <v>74</v>
      </c>
      <c r="D720" t="s">
        <v>74</v>
      </c>
      <c r="E720" t="s">
        <v>74</v>
      </c>
      <c r="F720" t="s">
        <v>10235</v>
      </c>
      <c r="G720" t="s">
        <v>74</v>
      </c>
      <c r="H720" t="s">
        <v>74</v>
      </c>
      <c r="I720" t="s">
        <v>10236</v>
      </c>
      <c r="J720" t="s">
        <v>2741</v>
      </c>
      <c r="K720" t="s">
        <v>74</v>
      </c>
      <c r="L720" t="s">
        <v>74</v>
      </c>
      <c r="M720" t="s">
        <v>77</v>
      </c>
      <c r="N720" t="s">
        <v>78</v>
      </c>
      <c r="O720" t="s">
        <v>74</v>
      </c>
      <c r="P720" t="s">
        <v>74</v>
      </c>
      <c r="Q720" t="s">
        <v>74</v>
      </c>
      <c r="R720" t="s">
        <v>74</v>
      </c>
      <c r="S720" t="s">
        <v>74</v>
      </c>
      <c r="T720" t="s">
        <v>74</v>
      </c>
      <c r="U720" t="s">
        <v>10237</v>
      </c>
      <c r="V720" t="s">
        <v>10238</v>
      </c>
      <c r="W720" t="s">
        <v>10239</v>
      </c>
      <c r="X720" t="s">
        <v>10240</v>
      </c>
      <c r="Y720" t="s">
        <v>750</v>
      </c>
      <c r="Z720" t="s">
        <v>10241</v>
      </c>
      <c r="AA720" t="s">
        <v>10242</v>
      </c>
      <c r="AB720" t="s">
        <v>10243</v>
      </c>
      <c r="AC720" t="s">
        <v>74</v>
      </c>
      <c r="AD720" t="s">
        <v>74</v>
      </c>
      <c r="AE720" t="s">
        <v>74</v>
      </c>
      <c r="AF720" t="s">
        <v>74</v>
      </c>
      <c r="AG720">
        <v>41</v>
      </c>
      <c r="AH720">
        <v>378</v>
      </c>
      <c r="AI720">
        <v>418</v>
      </c>
      <c r="AJ720">
        <v>0</v>
      </c>
      <c r="AK720">
        <v>88</v>
      </c>
      <c r="AL720" t="s">
        <v>2750</v>
      </c>
      <c r="AM720" t="s">
        <v>540</v>
      </c>
      <c r="AN720" t="s">
        <v>2751</v>
      </c>
      <c r="AO720" t="s">
        <v>2752</v>
      </c>
      <c r="AP720" t="s">
        <v>2753</v>
      </c>
      <c r="AQ720" t="s">
        <v>74</v>
      </c>
      <c r="AR720" t="s">
        <v>2741</v>
      </c>
      <c r="AS720" t="s">
        <v>2754</v>
      </c>
      <c r="AT720" t="s">
        <v>10244</v>
      </c>
      <c r="AU720">
        <v>2003</v>
      </c>
      <c r="AV720">
        <v>299</v>
      </c>
      <c r="AW720">
        <v>5613</v>
      </c>
      <c r="AX720" t="s">
        <v>74</v>
      </c>
      <c r="AY720" t="s">
        <v>74</v>
      </c>
      <c r="AZ720" t="s">
        <v>74</v>
      </c>
      <c r="BA720" t="s">
        <v>74</v>
      </c>
      <c r="BB720">
        <v>1709</v>
      </c>
      <c r="BC720">
        <v>1713</v>
      </c>
      <c r="BD720" t="s">
        <v>74</v>
      </c>
      <c r="BE720" t="s">
        <v>10245</v>
      </c>
      <c r="BF720" t="str">
        <f>HYPERLINK("http://dx.doi.org/10.1126/science.1081002","http://dx.doi.org/10.1126/science.1081002")</f>
        <v>http://dx.doi.org/10.1126/science.1081002</v>
      </c>
      <c r="BG720" t="s">
        <v>74</v>
      </c>
      <c r="BH720" t="s">
        <v>74</v>
      </c>
      <c r="BI720">
        <v>5</v>
      </c>
      <c r="BJ720" t="s">
        <v>971</v>
      </c>
      <c r="BK720" t="s">
        <v>94</v>
      </c>
      <c r="BL720" t="s">
        <v>972</v>
      </c>
      <c r="BM720" t="s">
        <v>10246</v>
      </c>
      <c r="BN720">
        <v>12637739</v>
      </c>
      <c r="BO720" t="s">
        <v>74</v>
      </c>
      <c r="BP720" t="s">
        <v>74</v>
      </c>
      <c r="BQ720" t="s">
        <v>74</v>
      </c>
      <c r="BR720" t="s">
        <v>97</v>
      </c>
      <c r="BS720" t="s">
        <v>10247</v>
      </c>
      <c r="BT720" t="str">
        <f>HYPERLINK("https%3A%2F%2Fwww.webofscience.com%2Fwos%2Fwoscc%2Ffull-record%2FWOS:000181519500038","View Full Record in Web of Science")</f>
        <v>View Full Record in Web of Science</v>
      </c>
    </row>
    <row r="721" spans="1:72" x14ac:dyDescent="0.15">
      <c r="A721" t="s">
        <v>72</v>
      </c>
      <c r="B721" t="s">
        <v>10248</v>
      </c>
      <c r="C721" t="s">
        <v>74</v>
      </c>
      <c r="D721" t="s">
        <v>74</v>
      </c>
      <c r="E721" t="s">
        <v>74</v>
      </c>
      <c r="F721" t="s">
        <v>10248</v>
      </c>
      <c r="G721" t="s">
        <v>74</v>
      </c>
      <c r="H721" t="s">
        <v>74</v>
      </c>
      <c r="I721" t="s">
        <v>10249</v>
      </c>
      <c r="J721" t="s">
        <v>2741</v>
      </c>
      <c r="K721" t="s">
        <v>74</v>
      </c>
      <c r="L721" t="s">
        <v>74</v>
      </c>
      <c r="M721" t="s">
        <v>77</v>
      </c>
      <c r="N721" t="s">
        <v>78</v>
      </c>
      <c r="O721" t="s">
        <v>74</v>
      </c>
      <c r="P721" t="s">
        <v>74</v>
      </c>
      <c r="Q721" t="s">
        <v>74</v>
      </c>
      <c r="R721" t="s">
        <v>74</v>
      </c>
      <c r="S721" t="s">
        <v>74</v>
      </c>
      <c r="T721" t="s">
        <v>74</v>
      </c>
      <c r="U721" t="s">
        <v>10250</v>
      </c>
      <c r="V721" t="s">
        <v>10251</v>
      </c>
      <c r="W721" t="s">
        <v>10252</v>
      </c>
      <c r="X721" t="s">
        <v>10253</v>
      </c>
      <c r="Y721" t="s">
        <v>10254</v>
      </c>
      <c r="Z721" t="s">
        <v>1058</v>
      </c>
      <c r="AA721" t="s">
        <v>10255</v>
      </c>
      <c r="AB721" t="s">
        <v>10256</v>
      </c>
      <c r="AC721" t="s">
        <v>74</v>
      </c>
      <c r="AD721" t="s">
        <v>74</v>
      </c>
      <c r="AE721" t="s">
        <v>74</v>
      </c>
      <c r="AF721" t="s">
        <v>74</v>
      </c>
      <c r="AG721">
        <v>38</v>
      </c>
      <c r="AH721">
        <v>139</v>
      </c>
      <c r="AI721">
        <v>158</v>
      </c>
      <c r="AJ721">
        <v>1</v>
      </c>
      <c r="AK721">
        <v>55</v>
      </c>
      <c r="AL721" t="s">
        <v>2750</v>
      </c>
      <c r="AM721" t="s">
        <v>540</v>
      </c>
      <c r="AN721" t="s">
        <v>2751</v>
      </c>
      <c r="AO721" t="s">
        <v>2752</v>
      </c>
      <c r="AP721" t="s">
        <v>2753</v>
      </c>
      <c r="AQ721" t="s">
        <v>74</v>
      </c>
      <c r="AR721" t="s">
        <v>2741</v>
      </c>
      <c r="AS721" t="s">
        <v>2754</v>
      </c>
      <c r="AT721" t="s">
        <v>10244</v>
      </c>
      <c r="AU721">
        <v>2003</v>
      </c>
      <c r="AV721">
        <v>299</v>
      </c>
      <c r="AW721">
        <v>5613</v>
      </c>
      <c r="AX721" t="s">
        <v>74</v>
      </c>
      <c r="AY721" t="s">
        <v>74</v>
      </c>
      <c r="AZ721" t="s">
        <v>74</v>
      </c>
      <c r="BA721" t="s">
        <v>74</v>
      </c>
      <c r="BB721">
        <v>1728</v>
      </c>
      <c r="BC721">
        <v>1731</v>
      </c>
      <c r="BD721" t="s">
        <v>74</v>
      </c>
      <c r="BE721" t="s">
        <v>10257</v>
      </c>
      <c r="BF721" t="str">
        <f>HYPERLINK("http://dx.doi.org/10.1126/science.1078758","http://dx.doi.org/10.1126/science.1078758")</f>
        <v>http://dx.doi.org/10.1126/science.1078758</v>
      </c>
      <c r="BG721" t="s">
        <v>74</v>
      </c>
      <c r="BH721" t="s">
        <v>74</v>
      </c>
      <c r="BI721">
        <v>4</v>
      </c>
      <c r="BJ721" t="s">
        <v>971</v>
      </c>
      <c r="BK721" t="s">
        <v>94</v>
      </c>
      <c r="BL721" t="s">
        <v>972</v>
      </c>
      <c r="BM721" t="s">
        <v>10246</v>
      </c>
      <c r="BN721">
        <v>12637743</v>
      </c>
      <c r="BO721" t="s">
        <v>74</v>
      </c>
      <c r="BP721" t="s">
        <v>74</v>
      </c>
      <c r="BQ721" t="s">
        <v>74</v>
      </c>
      <c r="BR721" t="s">
        <v>97</v>
      </c>
      <c r="BS721" t="s">
        <v>10258</v>
      </c>
      <c r="BT721" t="str">
        <f>HYPERLINK("https%3A%2F%2Fwww.webofscience.com%2Fwos%2Fwoscc%2Ffull-record%2FWOS:000181519500044","View Full Record in Web of Science")</f>
        <v>View Full Record in Web of Science</v>
      </c>
    </row>
    <row r="722" spans="1:72" x14ac:dyDescent="0.15">
      <c r="A722" t="s">
        <v>72</v>
      </c>
      <c r="B722" t="s">
        <v>10259</v>
      </c>
      <c r="C722" t="s">
        <v>74</v>
      </c>
      <c r="D722" t="s">
        <v>74</v>
      </c>
      <c r="E722" t="s">
        <v>74</v>
      </c>
      <c r="F722" t="s">
        <v>10259</v>
      </c>
      <c r="G722" t="s">
        <v>74</v>
      </c>
      <c r="H722" t="s">
        <v>74</v>
      </c>
      <c r="I722" t="s">
        <v>10260</v>
      </c>
      <c r="J722" t="s">
        <v>578</v>
      </c>
      <c r="K722" t="s">
        <v>74</v>
      </c>
      <c r="L722" t="s">
        <v>74</v>
      </c>
      <c r="M722" t="s">
        <v>77</v>
      </c>
      <c r="N722" t="s">
        <v>78</v>
      </c>
      <c r="O722" t="s">
        <v>74</v>
      </c>
      <c r="P722" t="s">
        <v>74</v>
      </c>
      <c r="Q722" t="s">
        <v>74</v>
      </c>
      <c r="R722" t="s">
        <v>74</v>
      </c>
      <c r="S722" t="s">
        <v>74</v>
      </c>
      <c r="T722" t="s">
        <v>10261</v>
      </c>
      <c r="U722" t="s">
        <v>10262</v>
      </c>
      <c r="V722" t="s">
        <v>10263</v>
      </c>
      <c r="W722" t="s">
        <v>10264</v>
      </c>
      <c r="X722" t="s">
        <v>10265</v>
      </c>
      <c r="Y722" t="s">
        <v>10266</v>
      </c>
      <c r="Z722" t="s">
        <v>10267</v>
      </c>
      <c r="AA722" t="s">
        <v>10268</v>
      </c>
      <c r="AB722" t="s">
        <v>10269</v>
      </c>
      <c r="AC722" t="s">
        <v>74</v>
      </c>
      <c r="AD722" t="s">
        <v>74</v>
      </c>
      <c r="AE722" t="s">
        <v>74</v>
      </c>
      <c r="AF722" t="s">
        <v>74</v>
      </c>
      <c r="AG722">
        <v>44</v>
      </c>
      <c r="AH722">
        <v>52</v>
      </c>
      <c r="AI722">
        <v>59</v>
      </c>
      <c r="AJ722">
        <v>0</v>
      </c>
      <c r="AK722">
        <v>34</v>
      </c>
      <c r="AL722" t="s">
        <v>539</v>
      </c>
      <c r="AM722" t="s">
        <v>540</v>
      </c>
      <c r="AN722" t="s">
        <v>541</v>
      </c>
      <c r="AO722" t="s">
        <v>588</v>
      </c>
      <c r="AP722" t="s">
        <v>74</v>
      </c>
      <c r="AQ722" t="s">
        <v>74</v>
      </c>
      <c r="AR722" t="s">
        <v>589</v>
      </c>
      <c r="AS722" t="s">
        <v>590</v>
      </c>
      <c r="AT722" t="s">
        <v>10270</v>
      </c>
      <c r="AU722">
        <v>2003</v>
      </c>
      <c r="AV722">
        <v>108</v>
      </c>
      <c r="AW722" t="s">
        <v>10271</v>
      </c>
      <c r="AX722" t="s">
        <v>74</v>
      </c>
      <c r="AY722" t="s">
        <v>74</v>
      </c>
      <c r="AZ722" t="s">
        <v>74</v>
      </c>
      <c r="BA722" t="s">
        <v>74</v>
      </c>
      <c r="BB722" t="s">
        <v>74</v>
      </c>
      <c r="BC722" t="s">
        <v>74</v>
      </c>
      <c r="BD722">
        <v>4165</v>
      </c>
      <c r="BE722" t="s">
        <v>10272</v>
      </c>
      <c r="BF722" t="str">
        <f>HYPERLINK("http://dx.doi.org/10.1029/2002JD002451","http://dx.doi.org/10.1029/2002JD002451")</f>
        <v>http://dx.doi.org/10.1029/2002JD002451</v>
      </c>
      <c r="BG722" t="s">
        <v>74</v>
      </c>
      <c r="BH722" t="s">
        <v>74</v>
      </c>
      <c r="BI722">
        <v>10</v>
      </c>
      <c r="BJ722" t="s">
        <v>93</v>
      </c>
      <c r="BK722" t="s">
        <v>94</v>
      </c>
      <c r="BL722" t="s">
        <v>93</v>
      </c>
      <c r="BM722" t="s">
        <v>10273</v>
      </c>
      <c r="BN722" t="s">
        <v>74</v>
      </c>
      <c r="BO722" t="s">
        <v>74</v>
      </c>
      <c r="BP722" t="s">
        <v>74</v>
      </c>
      <c r="BQ722" t="s">
        <v>74</v>
      </c>
      <c r="BR722" t="s">
        <v>97</v>
      </c>
      <c r="BS722" t="s">
        <v>10274</v>
      </c>
      <c r="BT722" t="str">
        <f>HYPERLINK("https%3A%2F%2Fwww.webofscience.com%2Fwos%2Fwoscc%2Ffull-record%2FWOS:000182153800002","View Full Record in Web of Science")</f>
        <v>View Full Record in Web of Science</v>
      </c>
    </row>
    <row r="723" spans="1:72" x14ac:dyDescent="0.15">
      <c r="A723" t="s">
        <v>72</v>
      </c>
      <c r="B723" t="s">
        <v>10275</v>
      </c>
      <c r="C723" t="s">
        <v>74</v>
      </c>
      <c r="D723" t="s">
        <v>74</v>
      </c>
      <c r="E723" t="s">
        <v>74</v>
      </c>
      <c r="F723" t="s">
        <v>10275</v>
      </c>
      <c r="G723" t="s">
        <v>74</v>
      </c>
      <c r="H723" t="s">
        <v>74</v>
      </c>
      <c r="I723" t="s">
        <v>10276</v>
      </c>
      <c r="J723" t="s">
        <v>665</v>
      </c>
      <c r="K723" t="s">
        <v>74</v>
      </c>
      <c r="L723" t="s">
        <v>74</v>
      </c>
      <c r="M723" t="s">
        <v>77</v>
      </c>
      <c r="N723" t="s">
        <v>78</v>
      </c>
      <c r="O723" t="s">
        <v>74</v>
      </c>
      <c r="P723" t="s">
        <v>74</v>
      </c>
      <c r="Q723" t="s">
        <v>74</v>
      </c>
      <c r="R723" t="s">
        <v>74</v>
      </c>
      <c r="S723" t="s">
        <v>74</v>
      </c>
      <c r="T723" t="s">
        <v>10277</v>
      </c>
      <c r="U723" t="s">
        <v>10278</v>
      </c>
      <c r="V723" t="s">
        <v>10279</v>
      </c>
      <c r="W723" t="s">
        <v>10280</v>
      </c>
      <c r="X723" t="s">
        <v>10281</v>
      </c>
      <c r="Y723" t="s">
        <v>10282</v>
      </c>
      <c r="Z723" t="s">
        <v>10283</v>
      </c>
      <c r="AA723" t="s">
        <v>74</v>
      </c>
      <c r="AB723" t="s">
        <v>74</v>
      </c>
      <c r="AC723" t="s">
        <v>74</v>
      </c>
      <c r="AD723" t="s">
        <v>74</v>
      </c>
      <c r="AE723" t="s">
        <v>74</v>
      </c>
      <c r="AF723" t="s">
        <v>74</v>
      </c>
      <c r="AG723">
        <v>56</v>
      </c>
      <c r="AH723">
        <v>291</v>
      </c>
      <c r="AI723">
        <v>324</v>
      </c>
      <c r="AJ723">
        <v>0</v>
      </c>
      <c r="AK723">
        <v>91</v>
      </c>
      <c r="AL723" t="s">
        <v>539</v>
      </c>
      <c r="AM723" t="s">
        <v>540</v>
      </c>
      <c r="AN723" t="s">
        <v>541</v>
      </c>
      <c r="AO723" t="s">
        <v>672</v>
      </c>
      <c r="AP723" t="s">
        <v>673</v>
      </c>
      <c r="AQ723" t="s">
        <v>74</v>
      </c>
      <c r="AR723" t="s">
        <v>674</v>
      </c>
      <c r="AS723" t="s">
        <v>675</v>
      </c>
      <c r="AT723" t="s">
        <v>10270</v>
      </c>
      <c r="AU723">
        <v>2003</v>
      </c>
      <c r="AV723">
        <v>108</v>
      </c>
      <c r="AW723" t="s">
        <v>10066</v>
      </c>
      <c r="AX723" t="s">
        <v>74</v>
      </c>
      <c r="AY723" t="s">
        <v>74</v>
      </c>
      <c r="AZ723" t="s">
        <v>74</v>
      </c>
      <c r="BA723" t="s">
        <v>74</v>
      </c>
      <c r="BB723" t="s">
        <v>74</v>
      </c>
      <c r="BC723" t="s">
        <v>74</v>
      </c>
      <c r="BD723">
        <v>3079</v>
      </c>
      <c r="BE723" t="s">
        <v>10284</v>
      </c>
      <c r="BF723" t="str">
        <f>HYPERLINK("http://dx.doi.org/10.1029/2000JC000736","http://dx.doi.org/10.1029/2000JC000736")</f>
        <v>http://dx.doi.org/10.1029/2000JC000736</v>
      </c>
      <c r="BG723" t="s">
        <v>74</v>
      </c>
      <c r="BH723" t="s">
        <v>74</v>
      </c>
      <c r="BI723">
        <v>15</v>
      </c>
      <c r="BJ723" t="s">
        <v>678</v>
      </c>
      <c r="BK723" t="s">
        <v>94</v>
      </c>
      <c r="BL723" t="s">
        <v>678</v>
      </c>
      <c r="BM723" t="s">
        <v>10285</v>
      </c>
      <c r="BN723" t="s">
        <v>74</v>
      </c>
      <c r="BO723" t="s">
        <v>74</v>
      </c>
      <c r="BP723" t="s">
        <v>74</v>
      </c>
      <c r="BQ723" t="s">
        <v>74</v>
      </c>
      <c r="BR723" t="s">
        <v>97</v>
      </c>
      <c r="BS723" t="s">
        <v>10286</v>
      </c>
      <c r="BT723" t="str">
        <f>HYPERLINK("https%3A%2F%2Fwww.webofscience.com%2Fwos%2Fwoscc%2Ffull-record%2FWOS:000182197900005","View Full Record in Web of Science")</f>
        <v>View Full Record in Web of Science</v>
      </c>
    </row>
    <row r="724" spans="1:72" x14ac:dyDescent="0.15">
      <c r="A724" t="s">
        <v>72</v>
      </c>
      <c r="B724" t="s">
        <v>10287</v>
      </c>
      <c r="C724" t="s">
        <v>74</v>
      </c>
      <c r="D724" t="s">
        <v>74</v>
      </c>
      <c r="E724" t="s">
        <v>74</v>
      </c>
      <c r="F724" t="s">
        <v>10287</v>
      </c>
      <c r="G724" t="s">
        <v>74</v>
      </c>
      <c r="H724" t="s">
        <v>74</v>
      </c>
      <c r="I724" t="s">
        <v>10288</v>
      </c>
      <c r="J724" t="s">
        <v>9149</v>
      </c>
      <c r="K724" t="s">
        <v>74</v>
      </c>
      <c r="L724" t="s">
        <v>74</v>
      </c>
      <c r="M724" t="s">
        <v>77</v>
      </c>
      <c r="N724" t="s">
        <v>3984</v>
      </c>
      <c r="O724" t="s">
        <v>74</v>
      </c>
      <c r="P724" t="s">
        <v>74</v>
      </c>
      <c r="Q724" t="s">
        <v>74</v>
      </c>
      <c r="R724" t="s">
        <v>74</v>
      </c>
      <c r="S724" t="s">
        <v>74</v>
      </c>
      <c r="T724" t="s">
        <v>74</v>
      </c>
      <c r="U724" t="s">
        <v>74</v>
      </c>
      <c r="V724" t="s">
        <v>74</v>
      </c>
      <c r="W724" t="s">
        <v>74</v>
      </c>
      <c r="X724" t="s">
        <v>74</v>
      </c>
      <c r="Y724" t="s">
        <v>74</v>
      </c>
      <c r="Z724" t="s">
        <v>74</v>
      </c>
      <c r="AA724" t="s">
        <v>74</v>
      </c>
      <c r="AB724" t="s">
        <v>74</v>
      </c>
      <c r="AC724" t="s">
        <v>74</v>
      </c>
      <c r="AD724" t="s">
        <v>74</v>
      </c>
      <c r="AE724" t="s">
        <v>74</v>
      </c>
      <c r="AF724" t="s">
        <v>74</v>
      </c>
      <c r="AG724">
        <v>1</v>
      </c>
      <c r="AH724">
        <v>0</v>
      </c>
      <c r="AI724">
        <v>0</v>
      </c>
      <c r="AJ724">
        <v>0</v>
      </c>
      <c r="AK724">
        <v>2</v>
      </c>
      <c r="AL724" t="s">
        <v>9157</v>
      </c>
      <c r="AM724" t="s">
        <v>964</v>
      </c>
      <c r="AN724" t="s">
        <v>9158</v>
      </c>
      <c r="AO724" t="s">
        <v>9159</v>
      </c>
      <c r="AP724" t="s">
        <v>74</v>
      </c>
      <c r="AQ724" t="s">
        <v>74</v>
      </c>
      <c r="AR724" t="s">
        <v>9149</v>
      </c>
      <c r="AS724" t="s">
        <v>9161</v>
      </c>
      <c r="AT724" t="s">
        <v>10270</v>
      </c>
      <c r="AU724">
        <v>2003</v>
      </c>
      <c r="AV724">
        <v>422</v>
      </c>
      <c r="AW724">
        <v>6928</v>
      </c>
      <c r="AX724" t="s">
        <v>74</v>
      </c>
      <c r="AY724" t="s">
        <v>74</v>
      </c>
      <c r="AZ724" t="s">
        <v>74</v>
      </c>
      <c r="BA724" t="s">
        <v>74</v>
      </c>
      <c r="BB724">
        <v>104</v>
      </c>
      <c r="BC724">
        <v>104</v>
      </c>
      <c r="BD724" t="s">
        <v>74</v>
      </c>
      <c r="BE724" t="s">
        <v>10289</v>
      </c>
      <c r="BF724" t="str">
        <f>HYPERLINK("http://dx.doi.org/10.1038/422104b","http://dx.doi.org/10.1038/422104b")</f>
        <v>http://dx.doi.org/10.1038/422104b</v>
      </c>
      <c r="BG724" t="s">
        <v>74</v>
      </c>
      <c r="BH724" t="s">
        <v>74</v>
      </c>
      <c r="BI724">
        <v>1</v>
      </c>
      <c r="BJ724" t="s">
        <v>971</v>
      </c>
      <c r="BK724" t="s">
        <v>94</v>
      </c>
      <c r="BL724" t="s">
        <v>972</v>
      </c>
      <c r="BM724" t="s">
        <v>10290</v>
      </c>
      <c r="BN724">
        <v>12634747</v>
      </c>
      <c r="BO724" t="s">
        <v>74</v>
      </c>
      <c r="BP724" t="s">
        <v>74</v>
      </c>
      <c r="BQ724" t="s">
        <v>74</v>
      </c>
      <c r="BR724" t="s">
        <v>97</v>
      </c>
      <c r="BS724" t="s">
        <v>10291</v>
      </c>
      <c r="BT724" t="str">
        <f>HYPERLINK("https%3A%2F%2Fwww.webofscience.com%2Fwos%2Fwoscc%2Ffull-record%2FWOS:000181488900010","View Full Record in Web of Science")</f>
        <v>View Full Record in Web of Science</v>
      </c>
    </row>
    <row r="725" spans="1:72" x14ac:dyDescent="0.15">
      <c r="A725" t="s">
        <v>72</v>
      </c>
      <c r="B725" t="s">
        <v>10292</v>
      </c>
      <c r="C725" t="s">
        <v>74</v>
      </c>
      <c r="D725" t="s">
        <v>74</v>
      </c>
      <c r="E725" t="s">
        <v>74</v>
      </c>
      <c r="F725" t="s">
        <v>10292</v>
      </c>
      <c r="G725" t="s">
        <v>74</v>
      </c>
      <c r="H725" t="s">
        <v>74</v>
      </c>
      <c r="I725" t="s">
        <v>10293</v>
      </c>
      <c r="J725" t="s">
        <v>530</v>
      </c>
      <c r="K725" t="s">
        <v>74</v>
      </c>
      <c r="L725" t="s">
        <v>74</v>
      </c>
      <c r="M725" t="s">
        <v>77</v>
      </c>
      <c r="N725" t="s">
        <v>78</v>
      </c>
      <c r="O725" t="s">
        <v>74</v>
      </c>
      <c r="P725" t="s">
        <v>74</v>
      </c>
      <c r="Q725" t="s">
        <v>74</v>
      </c>
      <c r="R725" t="s">
        <v>74</v>
      </c>
      <c r="S725" t="s">
        <v>74</v>
      </c>
      <c r="T725" t="s">
        <v>74</v>
      </c>
      <c r="U725" t="s">
        <v>10294</v>
      </c>
      <c r="V725" t="s">
        <v>10295</v>
      </c>
      <c r="W725" t="s">
        <v>10296</v>
      </c>
      <c r="X725" t="s">
        <v>10297</v>
      </c>
      <c r="Y725" t="s">
        <v>10298</v>
      </c>
      <c r="Z725" t="s">
        <v>10299</v>
      </c>
      <c r="AA725" t="s">
        <v>74</v>
      </c>
      <c r="AB725" t="s">
        <v>10300</v>
      </c>
      <c r="AC725" t="s">
        <v>74</v>
      </c>
      <c r="AD725" t="s">
        <v>74</v>
      </c>
      <c r="AE725" t="s">
        <v>74</v>
      </c>
      <c r="AF725" t="s">
        <v>74</v>
      </c>
      <c r="AG725">
        <v>29</v>
      </c>
      <c r="AH725">
        <v>36</v>
      </c>
      <c r="AI725">
        <v>36</v>
      </c>
      <c r="AJ725">
        <v>0</v>
      </c>
      <c r="AK725">
        <v>3</v>
      </c>
      <c r="AL725" t="s">
        <v>539</v>
      </c>
      <c r="AM725" t="s">
        <v>540</v>
      </c>
      <c r="AN725" t="s">
        <v>541</v>
      </c>
      <c r="AO725" t="s">
        <v>542</v>
      </c>
      <c r="AP725" t="s">
        <v>543</v>
      </c>
      <c r="AQ725" t="s">
        <v>74</v>
      </c>
      <c r="AR725" t="s">
        <v>544</v>
      </c>
      <c r="AS725" t="s">
        <v>545</v>
      </c>
      <c r="AT725" t="s">
        <v>10301</v>
      </c>
      <c r="AU725">
        <v>2003</v>
      </c>
      <c r="AV725">
        <v>30</v>
      </c>
      <c r="AW725">
        <v>5</v>
      </c>
      <c r="AX725" t="s">
        <v>74</v>
      </c>
      <c r="AY725" t="s">
        <v>74</v>
      </c>
      <c r="AZ725" t="s">
        <v>74</v>
      </c>
      <c r="BA725" t="s">
        <v>74</v>
      </c>
      <c r="BB725" t="s">
        <v>74</v>
      </c>
      <c r="BC725" t="s">
        <v>74</v>
      </c>
      <c r="BD725">
        <v>1240</v>
      </c>
      <c r="BE725" t="s">
        <v>10302</v>
      </c>
      <c r="BF725" t="str">
        <f>HYPERLINK("http://dx.doi.org/10.1029/2002GL016452","http://dx.doi.org/10.1029/2002GL016452")</f>
        <v>http://dx.doi.org/10.1029/2002GL016452</v>
      </c>
      <c r="BG725" t="s">
        <v>74</v>
      </c>
      <c r="BH725" t="s">
        <v>74</v>
      </c>
      <c r="BI725">
        <v>4</v>
      </c>
      <c r="BJ725" t="s">
        <v>548</v>
      </c>
      <c r="BK725" t="s">
        <v>94</v>
      </c>
      <c r="BL725" t="s">
        <v>549</v>
      </c>
      <c r="BM725" t="s">
        <v>10303</v>
      </c>
      <c r="BN725" t="s">
        <v>74</v>
      </c>
      <c r="BO725" t="s">
        <v>96</v>
      </c>
      <c r="BP725" t="s">
        <v>74</v>
      </c>
      <c r="BQ725" t="s">
        <v>74</v>
      </c>
      <c r="BR725" t="s">
        <v>97</v>
      </c>
      <c r="BS725" t="s">
        <v>10304</v>
      </c>
      <c r="BT725" t="str">
        <f>HYPERLINK("https%3A%2F%2Fwww.webofscience.com%2Fwos%2Fwoscc%2Ffull-record%2FWOS:000182151300005","View Full Record in Web of Science")</f>
        <v>View Full Record in Web of Science</v>
      </c>
    </row>
    <row r="726" spans="1:72" x14ac:dyDescent="0.15">
      <c r="A726" t="s">
        <v>72</v>
      </c>
      <c r="B726" t="s">
        <v>10305</v>
      </c>
      <c r="C726" t="s">
        <v>74</v>
      </c>
      <c r="D726" t="s">
        <v>74</v>
      </c>
      <c r="E726" t="s">
        <v>74</v>
      </c>
      <c r="F726" t="s">
        <v>10305</v>
      </c>
      <c r="G726" t="s">
        <v>74</v>
      </c>
      <c r="H726" t="s">
        <v>74</v>
      </c>
      <c r="I726" t="s">
        <v>10306</v>
      </c>
      <c r="J726" t="s">
        <v>645</v>
      </c>
      <c r="K726" t="s">
        <v>74</v>
      </c>
      <c r="L726" t="s">
        <v>74</v>
      </c>
      <c r="M726" t="s">
        <v>77</v>
      </c>
      <c r="N726" t="s">
        <v>78</v>
      </c>
      <c r="O726" t="s">
        <v>74</v>
      </c>
      <c r="P726" t="s">
        <v>74</v>
      </c>
      <c r="Q726" t="s">
        <v>74</v>
      </c>
      <c r="R726" t="s">
        <v>74</v>
      </c>
      <c r="S726" t="s">
        <v>74</v>
      </c>
      <c r="T726" t="s">
        <v>10307</v>
      </c>
      <c r="U726" t="s">
        <v>10308</v>
      </c>
      <c r="V726" t="s">
        <v>10309</v>
      </c>
      <c r="W726" t="s">
        <v>10310</v>
      </c>
      <c r="X726" t="s">
        <v>10311</v>
      </c>
      <c r="Y726" t="s">
        <v>10312</v>
      </c>
      <c r="Z726" t="s">
        <v>74</v>
      </c>
      <c r="AA726" t="s">
        <v>10313</v>
      </c>
      <c r="AB726" t="s">
        <v>10314</v>
      </c>
      <c r="AC726" t="s">
        <v>74</v>
      </c>
      <c r="AD726" t="s">
        <v>74</v>
      </c>
      <c r="AE726" t="s">
        <v>74</v>
      </c>
      <c r="AF726" t="s">
        <v>74</v>
      </c>
      <c r="AG726">
        <v>73</v>
      </c>
      <c r="AH726">
        <v>36</v>
      </c>
      <c r="AI726">
        <v>37</v>
      </c>
      <c r="AJ726">
        <v>1</v>
      </c>
      <c r="AK726">
        <v>9</v>
      </c>
      <c r="AL726" t="s">
        <v>539</v>
      </c>
      <c r="AM726" t="s">
        <v>540</v>
      </c>
      <c r="AN726" t="s">
        <v>541</v>
      </c>
      <c r="AO726" t="s">
        <v>653</v>
      </c>
      <c r="AP726" t="s">
        <v>74</v>
      </c>
      <c r="AQ726" t="s">
        <v>74</v>
      </c>
      <c r="AR726" t="s">
        <v>655</v>
      </c>
      <c r="AS726" t="s">
        <v>656</v>
      </c>
      <c r="AT726" t="s">
        <v>10301</v>
      </c>
      <c r="AU726">
        <v>2003</v>
      </c>
      <c r="AV726">
        <v>17</v>
      </c>
      <c r="AW726">
        <v>1</v>
      </c>
      <c r="AX726" t="s">
        <v>74</v>
      </c>
      <c r="AY726" t="s">
        <v>74</v>
      </c>
      <c r="AZ726" t="s">
        <v>74</v>
      </c>
      <c r="BA726" t="s">
        <v>74</v>
      </c>
      <c r="BB726" t="s">
        <v>74</v>
      </c>
      <c r="BC726" t="s">
        <v>74</v>
      </c>
      <c r="BD726">
        <v>1025</v>
      </c>
      <c r="BE726" t="s">
        <v>10315</v>
      </c>
      <c r="BF726" t="str">
        <f>HYPERLINK("http://dx.doi.org/10.1029/2002GB001957","http://dx.doi.org/10.1029/2002GB001957")</f>
        <v>http://dx.doi.org/10.1029/2002GB001957</v>
      </c>
      <c r="BG726" t="s">
        <v>74</v>
      </c>
      <c r="BH726" t="s">
        <v>74</v>
      </c>
      <c r="BI726">
        <v>11</v>
      </c>
      <c r="BJ726" t="s">
        <v>659</v>
      </c>
      <c r="BK726" t="s">
        <v>94</v>
      </c>
      <c r="BL726" t="s">
        <v>660</v>
      </c>
      <c r="BM726" t="s">
        <v>10316</v>
      </c>
      <c r="BN726" t="s">
        <v>74</v>
      </c>
      <c r="BO726" t="s">
        <v>154</v>
      </c>
      <c r="BP726" t="s">
        <v>74</v>
      </c>
      <c r="BQ726" t="s">
        <v>74</v>
      </c>
      <c r="BR726" t="s">
        <v>97</v>
      </c>
      <c r="BS726" t="s">
        <v>10317</v>
      </c>
      <c r="BT726" t="str">
        <f>HYPERLINK("https%3A%2F%2Fwww.webofscience.com%2Fwos%2Fwoscc%2Ffull-record%2FWOS:000182153100001","View Full Record in Web of Science")</f>
        <v>View Full Record in Web of Science</v>
      </c>
    </row>
    <row r="727" spans="1:72" x14ac:dyDescent="0.15">
      <c r="A727" t="s">
        <v>72</v>
      </c>
      <c r="B727" t="s">
        <v>10318</v>
      </c>
      <c r="C727" t="s">
        <v>74</v>
      </c>
      <c r="D727" t="s">
        <v>74</v>
      </c>
      <c r="E727" t="s">
        <v>74</v>
      </c>
      <c r="F727" t="s">
        <v>10318</v>
      </c>
      <c r="G727" t="s">
        <v>74</v>
      </c>
      <c r="H727" t="s">
        <v>74</v>
      </c>
      <c r="I727" t="s">
        <v>10319</v>
      </c>
      <c r="J727" t="s">
        <v>6722</v>
      </c>
      <c r="K727" t="s">
        <v>74</v>
      </c>
      <c r="L727" t="s">
        <v>74</v>
      </c>
      <c r="M727" t="s">
        <v>77</v>
      </c>
      <c r="N727" t="s">
        <v>78</v>
      </c>
      <c r="O727" t="s">
        <v>74</v>
      </c>
      <c r="P727" t="s">
        <v>74</v>
      </c>
      <c r="Q727" t="s">
        <v>74</v>
      </c>
      <c r="R727" t="s">
        <v>74</v>
      </c>
      <c r="S727" t="s">
        <v>74</v>
      </c>
      <c r="T727" t="s">
        <v>10320</v>
      </c>
      <c r="U727" t="s">
        <v>10321</v>
      </c>
      <c r="V727" t="s">
        <v>10322</v>
      </c>
      <c r="W727" t="s">
        <v>4075</v>
      </c>
      <c r="X727" t="s">
        <v>4076</v>
      </c>
      <c r="Y727" t="s">
        <v>4062</v>
      </c>
      <c r="Z727" t="s">
        <v>4063</v>
      </c>
      <c r="AA727" t="s">
        <v>74</v>
      </c>
      <c r="AB727" t="s">
        <v>74</v>
      </c>
      <c r="AC727" t="s">
        <v>74</v>
      </c>
      <c r="AD727" t="s">
        <v>74</v>
      </c>
      <c r="AE727" t="s">
        <v>74</v>
      </c>
      <c r="AF727" t="s">
        <v>74</v>
      </c>
      <c r="AG727">
        <v>30</v>
      </c>
      <c r="AH727">
        <v>54</v>
      </c>
      <c r="AI727">
        <v>56</v>
      </c>
      <c r="AJ727">
        <v>1</v>
      </c>
      <c r="AK727">
        <v>23</v>
      </c>
      <c r="AL727" t="s">
        <v>781</v>
      </c>
      <c r="AM727" t="s">
        <v>111</v>
      </c>
      <c r="AN727" t="s">
        <v>782</v>
      </c>
      <c r="AO727" t="s">
        <v>6728</v>
      </c>
      <c r="AP727" t="s">
        <v>6729</v>
      </c>
      <c r="AQ727" t="s">
        <v>74</v>
      </c>
      <c r="AR727" t="s">
        <v>6730</v>
      </c>
      <c r="AS727" t="s">
        <v>6731</v>
      </c>
      <c r="AT727" t="s">
        <v>10301</v>
      </c>
      <c r="AU727">
        <v>2003</v>
      </c>
      <c r="AV727">
        <v>648</v>
      </c>
      <c r="AW727" t="s">
        <v>787</v>
      </c>
      <c r="AX727" t="s">
        <v>74</v>
      </c>
      <c r="AY727" t="s">
        <v>74</v>
      </c>
      <c r="AZ727" t="s">
        <v>74</v>
      </c>
      <c r="BA727" t="s">
        <v>74</v>
      </c>
      <c r="BB727">
        <v>49</v>
      </c>
      <c r="BC727">
        <v>59</v>
      </c>
      <c r="BD727" t="s">
        <v>10323</v>
      </c>
      <c r="BE727" t="s">
        <v>10324</v>
      </c>
      <c r="BF727" t="str">
        <f>HYPERLINK("http://dx.doi.org/10.1016/S0022-2860(02)00384-8","http://dx.doi.org/10.1016/S0022-2860(02)00384-8")</f>
        <v>http://dx.doi.org/10.1016/S0022-2860(02)00384-8</v>
      </c>
      <c r="BG727" t="s">
        <v>74</v>
      </c>
      <c r="BH727" t="s">
        <v>74</v>
      </c>
      <c r="BI727">
        <v>11</v>
      </c>
      <c r="BJ727" t="s">
        <v>6735</v>
      </c>
      <c r="BK727" t="s">
        <v>94</v>
      </c>
      <c r="BL727" t="s">
        <v>4142</v>
      </c>
      <c r="BM727" t="s">
        <v>10325</v>
      </c>
      <c r="BN727" t="s">
        <v>74</v>
      </c>
      <c r="BO727" t="s">
        <v>74</v>
      </c>
      <c r="BP727" t="s">
        <v>74</v>
      </c>
      <c r="BQ727" t="s">
        <v>74</v>
      </c>
      <c r="BR727" t="s">
        <v>97</v>
      </c>
      <c r="BS727" t="s">
        <v>10326</v>
      </c>
      <c r="BT727" t="str">
        <f>HYPERLINK("https%3A%2F%2Fwww.webofscience.com%2Fwos%2Fwoscc%2Ffull-record%2FWOS:000181383000005","View Full Record in Web of Science")</f>
        <v>View Full Record in Web of Science</v>
      </c>
    </row>
    <row r="728" spans="1:72" x14ac:dyDescent="0.15">
      <c r="A728" t="s">
        <v>72</v>
      </c>
      <c r="B728" t="s">
        <v>10327</v>
      </c>
      <c r="C728" t="s">
        <v>74</v>
      </c>
      <c r="D728" t="s">
        <v>74</v>
      </c>
      <c r="E728" t="s">
        <v>74</v>
      </c>
      <c r="F728" t="s">
        <v>10327</v>
      </c>
      <c r="G728" t="s">
        <v>74</v>
      </c>
      <c r="H728" t="s">
        <v>74</v>
      </c>
      <c r="I728" t="s">
        <v>10328</v>
      </c>
      <c r="J728" t="s">
        <v>613</v>
      </c>
      <c r="K728" t="s">
        <v>74</v>
      </c>
      <c r="L728" t="s">
        <v>74</v>
      </c>
      <c r="M728" t="s">
        <v>77</v>
      </c>
      <c r="N728" t="s">
        <v>78</v>
      </c>
      <c r="O728" t="s">
        <v>74</v>
      </c>
      <c r="P728" t="s">
        <v>74</v>
      </c>
      <c r="Q728" t="s">
        <v>74</v>
      </c>
      <c r="R728" t="s">
        <v>74</v>
      </c>
      <c r="S728" t="s">
        <v>74</v>
      </c>
      <c r="T728" t="s">
        <v>10329</v>
      </c>
      <c r="U728" t="s">
        <v>10330</v>
      </c>
      <c r="V728" t="s">
        <v>10331</v>
      </c>
      <c r="W728" t="s">
        <v>10332</v>
      </c>
      <c r="X728" t="s">
        <v>10333</v>
      </c>
      <c r="Y728" t="s">
        <v>10334</v>
      </c>
      <c r="Z728" t="s">
        <v>74</v>
      </c>
      <c r="AA728" t="s">
        <v>10335</v>
      </c>
      <c r="AB728" t="s">
        <v>10336</v>
      </c>
      <c r="AC728" t="s">
        <v>74</v>
      </c>
      <c r="AD728" t="s">
        <v>74</v>
      </c>
      <c r="AE728" t="s">
        <v>74</v>
      </c>
      <c r="AF728" t="s">
        <v>74</v>
      </c>
      <c r="AG728">
        <v>17</v>
      </c>
      <c r="AH728">
        <v>51</v>
      </c>
      <c r="AI728">
        <v>55</v>
      </c>
      <c r="AJ728">
        <v>0</v>
      </c>
      <c r="AK728">
        <v>8</v>
      </c>
      <c r="AL728" t="s">
        <v>539</v>
      </c>
      <c r="AM728" t="s">
        <v>540</v>
      </c>
      <c r="AN728" t="s">
        <v>541</v>
      </c>
      <c r="AO728" t="s">
        <v>621</v>
      </c>
      <c r="AP728" t="s">
        <v>74</v>
      </c>
      <c r="AQ728" t="s">
        <v>74</v>
      </c>
      <c r="AR728" t="s">
        <v>613</v>
      </c>
      <c r="AS728" t="s">
        <v>623</v>
      </c>
      <c r="AT728" t="s">
        <v>10337</v>
      </c>
      <c r="AU728">
        <v>2003</v>
      </c>
      <c r="AV728">
        <v>18</v>
      </c>
      <c r="AW728">
        <v>1</v>
      </c>
      <c r="AX728" t="s">
        <v>74</v>
      </c>
      <c r="AY728" t="s">
        <v>74</v>
      </c>
      <c r="AZ728" t="s">
        <v>74</v>
      </c>
      <c r="BA728" t="s">
        <v>74</v>
      </c>
      <c r="BB728" t="s">
        <v>74</v>
      </c>
      <c r="BC728" t="s">
        <v>74</v>
      </c>
      <c r="BD728">
        <v>1012</v>
      </c>
      <c r="BE728" t="s">
        <v>10338</v>
      </c>
      <c r="BF728" t="str">
        <f>HYPERLINK("http://dx.doi.org/10.1029/2002PA000760","http://dx.doi.org/10.1029/2002PA000760")</f>
        <v>http://dx.doi.org/10.1029/2002PA000760</v>
      </c>
      <c r="BG728" t="s">
        <v>74</v>
      </c>
      <c r="BH728" t="s">
        <v>74</v>
      </c>
      <c r="BI728">
        <v>7</v>
      </c>
      <c r="BJ728" t="s">
        <v>625</v>
      </c>
      <c r="BK728" t="s">
        <v>94</v>
      </c>
      <c r="BL728" t="s">
        <v>626</v>
      </c>
      <c r="BM728" t="s">
        <v>10339</v>
      </c>
      <c r="BN728" t="s">
        <v>74</v>
      </c>
      <c r="BO728" t="s">
        <v>154</v>
      </c>
      <c r="BP728" t="s">
        <v>74</v>
      </c>
      <c r="BQ728" t="s">
        <v>74</v>
      </c>
      <c r="BR728" t="s">
        <v>97</v>
      </c>
      <c r="BS728" t="s">
        <v>10340</v>
      </c>
      <c r="BT728" t="str">
        <f>HYPERLINK("https%3A%2F%2Fwww.webofscience.com%2Fwos%2Fwoscc%2Ffull-record%2FWOS:000182212200001","View Full Record in Web of Science")</f>
        <v>View Full Record in Web of Science</v>
      </c>
    </row>
    <row r="729" spans="1:72" x14ac:dyDescent="0.15">
      <c r="A729" t="s">
        <v>72</v>
      </c>
      <c r="B729" t="s">
        <v>10341</v>
      </c>
      <c r="C729" t="s">
        <v>74</v>
      </c>
      <c r="D729" t="s">
        <v>74</v>
      </c>
      <c r="E729" t="s">
        <v>74</v>
      </c>
      <c r="F729" t="s">
        <v>10341</v>
      </c>
      <c r="G729" t="s">
        <v>74</v>
      </c>
      <c r="H729" t="s">
        <v>74</v>
      </c>
      <c r="I729" t="s">
        <v>10342</v>
      </c>
      <c r="J729" t="s">
        <v>2760</v>
      </c>
      <c r="K729" t="s">
        <v>74</v>
      </c>
      <c r="L729" t="s">
        <v>74</v>
      </c>
      <c r="M729" t="s">
        <v>77</v>
      </c>
      <c r="N729" t="s">
        <v>78</v>
      </c>
      <c r="O729" t="s">
        <v>74</v>
      </c>
      <c r="P729" t="s">
        <v>74</v>
      </c>
      <c r="Q729" t="s">
        <v>74</v>
      </c>
      <c r="R729" t="s">
        <v>74</v>
      </c>
      <c r="S729" t="s">
        <v>74</v>
      </c>
      <c r="T729" t="s">
        <v>74</v>
      </c>
      <c r="U729" t="s">
        <v>10343</v>
      </c>
      <c r="V729" t="s">
        <v>10344</v>
      </c>
      <c r="W729" t="s">
        <v>10345</v>
      </c>
      <c r="X729" t="s">
        <v>10346</v>
      </c>
      <c r="Y729" t="s">
        <v>10347</v>
      </c>
      <c r="Z729" t="s">
        <v>74</v>
      </c>
      <c r="AA729" t="s">
        <v>74</v>
      </c>
      <c r="AB729" t="s">
        <v>74</v>
      </c>
      <c r="AC729" t="s">
        <v>74</v>
      </c>
      <c r="AD729" t="s">
        <v>74</v>
      </c>
      <c r="AE729" t="s">
        <v>74</v>
      </c>
      <c r="AF729" t="s">
        <v>74</v>
      </c>
      <c r="AG729">
        <v>62</v>
      </c>
      <c r="AH729">
        <v>25</v>
      </c>
      <c r="AI729">
        <v>28</v>
      </c>
      <c r="AJ729">
        <v>0</v>
      </c>
      <c r="AK729">
        <v>8</v>
      </c>
      <c r="AL729" t="s">
        <v>1651</v>
      </c>
      <c r="AM729" t="s">
        <v>1652</v>
      </c>
      <c r="AN729" t="s">
        <v>1653</v>
      </c>
      <c r="AO729" t="s">
        <v>2767</v>
      </c>
      <c r="AP729" t="s">
        <v>74</v>
      </c>
      <c r="AQ729" t="s">
        <v>74</v>
      </c>
      <c r="AR729" t="s">
        <v>2768</v>
      </c>
      <c r="AS729" t="s">
        <v>2769</v>
      </c>
      <c r="AT729" t="s">
        <v>10348</v>
      </c>
      <c r="AU729">
        <v>2003</v>
      </c>
      <c r="AV729">
        <v>24</v>
      </c>
      <c r="AW729">
        <v>5</v>
      </c>
      <c r="AX729" t="s">
        <v>74</v>
      </c>
      <c r="AY729" t="s">
        <v>74</v>
      </c>
      <c r="AZ729" t="s">
        <v>74</v>
      </c>
      <c r="BA729" t="s">
        <v>74</v>
      </c>
      <c r="BB729">
        <v>969</v>
      </c>
      <c r="BC729">
        <v>991</v>
      </c>
      <c r="BD729" t="s">
        <v>74</v>
      </c>
      <c r="BE729" t="s">
        <v>10349</v>
      </c>
      <c r="BF729" t="str">
        <f>HYPERLINK("http://dx.doi.org/10.1080/01431160110115573","http://dx.doi.org/10.1080/01431160110115573")</f>
        <v>http://dx.doi.org/10.1080/01431160110115573</v>
      </c>
      <c r="BG729" t="s">
        <v>74</v>
      </c>
      <c r="BH729" t="s">
        <v>74</v>
      </c>
      <c r="BI729">
        <v>23</v>
      </c>
      <c r="BJ729" t="s">
        <v>2772</v>
      </c>
      <c r="BK729" t="s">
        <v>94</v>
      </c>
      <c r="BL729" t="s">
        <v>2772</v>
      </c>
      <c r="BM729" t="s">
        <v>10350</v>
      </c>
      <c r="BN729" t="s">
        <v>74</v>
      </c>
      <c r="BO729" t="s">
        <v>74</v>
      </c>
      <c r="BP729" t="s">
        <v>74</v>
      </c>
      <c r="BQ729" t="s">
        <v>74</v>
      </c>
      <c r="BR729" t="s">
        <v>97</v>
      </c>
      <c r="BS729" t="s">
        <v>10351</v>
      </c>
      <c r="BT729" t="str">
        <f>HYPERLINK("https%3A%2F%2Fwww.webofscience.com%2Fwos%2Fwoscc%2Ffull-record%2FWOS:000181926400005","View Full Record in Web of Science")</f>
        <v>View Full Record in Web of Science</v>
      </c>
    </row>
    <row r="730" spans="1:72" x14ac:dyDescent="0.15">
      <c r="A730" t="s">
        <v>72</v>
      </c>
      <c r="B730" t="s">
        <v>10352</v>
      </c>
      <c r="C730" t="s">
        <v>74</v>
      </c>
      <c r="D730" t="s">
        <v>74</v>
      </c>
      <c r="E730" t="s">
        <v>74</v>
      </c>
      <c r="F730" t="s">
        <v>10352</v>
      </c>
      <c r="G730" t="s">
        <v>74</v>
      </c>
      <c r="H730" t="s">
        <v>74</v>
      </c>
      <c r="I730" t="s">
        <v>10353</v>
      </c>
      <c r="J730" t="s">
        <v>530</v>
      </c>
      <c r="K730" t="s">
        <v>74</v>
      </c>
      <c r="L730" t="s">
        <v>74</v>
      </c>
      <c r="M730" t="s">
        <v>77</v>
      </c>
      <c r="N730" t="s">
        <v>78</v>
      </c>
      <c r="O730" t="s">
        <v>74</v>
      </c>
      <c r="P730" t="s">
        <v>74</v>
      </c>
      <c r="Q730" t="s">
        <v>74</v>
      </c>
      <c r="R730" t="s">
        <v>74</v>
      </c>
      <c r="S730" t="s">
        <v>74</v>
      </c>
      <c r="T730" t="s">
        <v>74</v>
      </c>
      <c r="U730" t="s">
        <v>10354</v>
      </c>
      <c r="V730" t="s">
        <v>10355</v>
      </c>
      <c r="W730" t="s">
        <v>10356</v>
      </c>
      <c r="X730" t="s">
        <v>10357</v>
      </c>
      <c r="Y730" t="s">
        <v>10358</v>
      </c>
      <c r="Z730" t="s">
        <v>74</v>
      </c>
      <c r="AA730" t="s">
        <v>10359</v>
      </c>
      <c r="AB730" t="s">
        <v>10360</v>
      </c>
      <c r="AC730" t="s">
        <v>74</v>
      </c>
      <c r="AD730" t="s">
        <v>74</v>
      </c>
      <c r="AE730" t="s">
        <v>74</v>
      </c>
      <c r="AF730" t="s">
        <v>74</v>
      </c>
      <c r="AG730">
        <v>24</v>
      </c>
      <c r="AH730">
        <v>19</v>
      </c>
      <c r="AI730">
        <v>19</v>
      </c>
      <c r="AJ730">
        <v>0</v>
      </c>
      <c r="AK730">
        <v>10</v>
      </c>
      <c r="AL730" t="s">
        <v>539</v>
      </c>
      <c r="AM730" t="s">
        <v>540</v>
      </c>
      <c r="AN730" t="s">
        <v>541</v>
      </c>
      <c r="AO730" t="s">
        <v>542</v>
      </c>
      <c r="AP730" t="s">
        <v>74</v>
      </c>
      <c r="AQ730" t="s">
        <v>74</v>
      </c>
      <c r="AR730" t="s">
        <v>544</v>
      </c>
      <c r="AS730" t="s">
        <v>545</v>
      </c>
      <c r="AT730" t="s">
        <v>10361</v>
      </c>
      <c r="AU730">
        <v>2003</v>
      </c>
      <c r="AV730">
        <v>30</v>
      </c>
      <c r="AW730">
        <v>5</v>
      </c>
      <c r="AX730" t="s">
        <v>74</v>
      </c>
      <c r="AY730" t="s">
        <v>74</v>
      </c>
      <c r="AZ730" t="s">
        <v>74</v>
      </c>
      <c r="BA730" t="s">
        <v>74</v>
      </c>
      <c r="BB730" t="s">
        <v>74</v>
      </c>
      <c r="BC730" t="s">
        <v>74</v>
      </c>
      <c r="BD730">
        <v>8007</v>
      </c>
      <c r="BE730" t="s">
        <v>10362</v>
      </c>
      <c r="BF730" t="str">
        <f>HYPERLINK("http://dx.doi.org/10.1029/2002GL015766","http://dx.doi.org/10.1029/2002GL015766")</f>
        <v>http://dx.doi.org/10.1029/2002GL015766</v>
      </c>
      <c r="BG730" t="s">
        <v>74</v>
      </c>
      <c r="BH730" t="s">
        <v>74</v>
      </c>
      <c r="BI730">
        <v>4</v>
      </c>
      <c r="BJ730" t="s">
        <v>548</v>
      </c>
      <c r="BK730" t="s">
        <v>94</v>
      </c>
      <c r="BL730" t="s">
        <v>549</v>
      </c>
      <c r="BM730" t="s">
        <v>10363</v>
      </c>
      <c r="BN730" t="s">
        <v>74</v>
      </c>
      <c r="BO730" t="s">
        <v>74</v>
      </c>
      <c r="BP730" t="s">
        <v>74</v>
      </c>
      <c r="BQ730" t="s">
        <v>74</v>
      </c>
      <c r="BR730" t="s">
        <v>97</v>
      </c>
      <c r="BS730" t="s">
        <v>10364</v>
      </c>
      <c r="BT730" t="str">
        <f>HYPERLINK("https%3A%2F%2Fwww.webofscience.com%2Fwos%2Fwoscc%2Ffull-record%2FWOS:000182108800007","View Full Record in Web of Science")</f>
        <v>View Full Record in Web of Science</v>
      </c>
    </row>
    <row r="731" spans="1:72" x14ac:dyDescent="0.15">
      <c r="A731" t="s">
        <v>72</v>
      </c>
      <c r="B731" t="s">
        <v>10365</v>
      </c>
      <c r="C731" t="s">
        <v>74</v>
      </c>
      <c r="D731" t="s">
        <v>74</v>
      </c>
      <c r="E731" t="s">
        <v>74</v>
      </c>
      <c r="F731" t="s">
        <v>10365</v>
      </c>
      <c r="G731" t="s">
        <v>74</v>
      </c>
      <c r="H731" t="s">
        <v>74</v>
      </c>
      <c r="I731" t="s">
        <v>10366</v>
      </c>
      <c r="J731" t="s">
        <v>2741</v>
      </c>
      <c r="K731" t="s">
        <v>74</v>
      </c>
      <c r="L731" t="s">
        <v>74</v>
      </c>
      <c r="M731" t="s">
        <v>77</v>
      </c>
      <c r="N731" t="s">
        <v>78</v>
      </c>
      <c r="O731" t="s">
        <v>74</v>
      </c>
      <c r="P731" t="s">
        <v>74</v>
      </c>
      <c r="Q731" t="s">
        <v>74</v>
      </c>
      <c r="R731" t="s">
        <v>74</v>
      </c>
      <c r="S731" t="s">
        <v>74</v>
      </c>
      <c r="T731" t="s">
        <v>74</v>
      </c>
      <c r="U731" t="s">
        <v>10367</v>
      </c>
      <c r="V731" t="s">
        <v>10368</v>
      </c>
      <c r="W731" t="s">
        <v>10369</v>
      </c>
      <c r="X731" t="s">
        <v>10370</v>
      </c>
      <c r="Y731" t="s">
        <v>10371</v>
      </c>
      <c r="Z731" t="s">
        <v>74</v>
      </c>
      <c r="AA731" t="s">
        <v>10372</v>
      </c>
      <c r="AB731" t="s">
        <v>10373</v>
      </c>
      <c r="AC731" t="s">
        <v>74</v>
      </c>
      <c r="AD731" t="s">
        <v>74</v>
      </c>
      <c r="AE731" t="s">
        <v>74</v>
      </c>
      <c r="AF731" t="s">
        <v>74</v>
      </c>
      <c r="AG731">
        <v>17</v>
      </c>
      <c r="AH731">
        <v>292</v>
      </c>
      <c r="AI731">
        <v>319</v>
      </c>
      <c r="AJ731">
        <v>0</v>
      </c>
      <c r="AK731">
        <v>59</v>
      </c>
      <c r="AL731" t="s">
        <v>2750</v>
      </c>
      <c r="AM731" t="s">
        <v>540</v>
      </c>
      <c r="AN731" t="s">
        <v>2751</v>
      </c>
      <c r="AO731" t="s">
        <v>2752</v>
      </c>
      <c r="AP731" t="s">
        <v>74</v>
      </c>
      <c r="AQ731" t="s">
        <v>74</v>
      </c>
      <c r="AR731" t="s">
        <v>2741</v>
      </c>
      <c r="AS731" t="s">
        <v>2754</v>
      </c>
      <c r="AT731" t="s">
        <v>10374</v>
      </c>
      <c r="AU731">
        <v>2003</v>
      </c>
      <c r="AV731">
        <v>299</v>
      </c>
      <c r="AW731">
        <v>5612</v>
      </c>
      <c r="AX731" t="s">
        <v>74</v>
      </c>
      <c r="AY731" t="s">
        <v>74</v>
      </c>
      <c r="AZ731" t="s">
        <v>74</v>
      </c>
      <c r="BA731" t="s">
        <v>74</v>
      </c>
      <c r="BB731">
        <v>1560</v>
      </c>
      <c r="BC731">
        <v>1562</v>
      </c>
      <c r="BD731" t="s">
        <v>74</v>
      </c>
      <c r="BE731" t="s">
        <v>10375</v>
      </c>
      <c r="BF731" t="str">
        <f>HYPERLINK("http://dx.doi.org/10.1126/science.1077987","http://dx.doi.org/10.1126/science.1077987")</f>
        <v>http://dx.doi.org/10.1126/science.1077987</v>
      </c>
      <c r="BG731" t="s">
        <v>74</v>
      </c>
      <c r="BH731" t="s">
        <v>74</v>
      </c>
      <c r="BI731">
        <v>3</v>
      </c>
      <c r="BJ731" t="s">
        <v>971</v>
      </c>
      <c r="BK731" t="s">
        <v>94</v>
      </c>
      <c r="BL731" t="s">
        <v>972</v>
      </c>
      <c r="BM731" t="s">
        <v>10376</v>
      </c>
      <c r="BN731">
        <v>12624263</v>
      </c>
      <c r="BO731" t="s">
        <v>74</v>
      </c>
      <c r="BP731" t="s">
        <v>74</v>
      </c>
      <c r="BQ731" t="s">
        <v>74</v>
      </c>
      <c r="BR731" t="s">
        <v>97</v>
      </c>
      <c r="BS731" t="s">
        <v>10377</v>
      </c>
      <c r="BT731" t="str">
        <f>HYPERLINK("https%3A%2F%2Fwww.webofscience.com%2Fwos%2Fwoscc%2Ffull-record%2FWOS:000181367900033","View Full Record in Web of Science")</f>
        <v>View Full Record in Web of Science</v>
      </c>
    </row>
    <row r="732" spans="1:72" x14ac:dyDescent="0.15">
      <c r="A732" t="s">
        <v>72</v>
      </c>
      <c r="B732" t="s">
        <v>10378</v>
      </c>
      <c r="C732" t="s">
        <v>74</v>
      </c>
      <c r="D732" t="s">
        <v>74</v>
      </c>
      <c r="E732" t="s">
        <v>74</v>
      </c>
      <c r="F732" t="s">
        <v>10378</v>
      </c>
      <c r="G732" t="s">
        <v>74</v>
      </c>
      <c r="H732" t="s">
        <v>74</v>
      </c>
      <c r="I732" t="s">
        <v>10379</v>
      </c>
      <c r="J732" t="s">
        <v>10380</v>
      </c>
      <c r="K732" t="s">
        <v>74</v>
      </c>
      <c r="L732" t="s">
        <v>74</v>
      </c>
      <c r="M732" t="s">
        <v>77</v>
      </c>
      <c r="N732" t="s">
        <v>52</v>
      </c>
      <c r="O732" t="s">
        <v>10381</v>
      </c>
      <c r="P732" t="s">
        <v>10382</v>
      </c>
      <c r="Q732" t="s">
        <v>10383</v>
      </c>
      <c r="R732" t="s">
        <v>74</v>
      </c>
      <c r="S732" t="s">
        <v>74</v>
      </c>
      <c r="T732" t="s">
        <v>74</v>
      </c>
      <c r="U732" t="s">
        <v>74</v>
      </c>
      <c r="V732" t="s">
        <v>74</v>
      </c>
      <c r="W732" t="s">
        <v>10384</v>
      </c>
      <c r="X732" t="s">
        <v>10385</v>
      </c>
      <c r="Y732" t="s">
        <v>74</v>
      </c>
      <c r="Z732" t="s">
        <v>74</v>
      </c>
      <c r="AA732" t="s">
        <v>10386</v>
      </c>
      <c r="AB732" t="s">
        <v>74</v>
      </c>
      <c r="AC732" t="s">
        <v>74</v>
      </c>
      <c r="AD732" t="s">
        <v>74</v>
      </c>
      <c r="AE732" t="s">
        <v>74</v>
      </c>
      <c r="AF732" t="s">
        <v>74</v>
      </c>
      <c r="AG732">
        <v>0</v>
      </c>
      <c r="AH732">
        <v>0</v>
      </c>
      <c r="AI732">
        <v>0</v>
      </c>
      <c r="AJ732">
        <v>0</v>
      </c>
      <c r="AK732">
        <v>1</v>
      </c>
      <c r="AL732" t="s">
        <v>4346</v>
      </c>
      <c r="AM732" t="s">
        <v>540</v>
      </c>
      <c r="AN732" t="s">
        <v>4347</v>
      </c>
      <c r="AO732" t="s">
        <v>10387</v>
      </c>
      <c r="AP732" t="s">
        <v>74</v>
      </c>
      <c r="AQ732" t="s">
        <v>74</v>
      </c>
      <c r="AR732" t="s">
        <v>10388</v>
      </c>
      <c r="AS732" t="s">
        <v>10389</v>
      </c>
      <c r="AT732" t="s">
        <v>10390</v>
      </c>
      <c r="AU732">
        <v>2003</v>
      </c>
      <c r="AV732">
        <v>225</v>
      </c>
      <c r="AW732" t="s">
        <v>74</v>
      </c>
      <c r="AX732">
        <v>1</v>
      </c>
      <c r="AY732" t="s">
        <v>74</v>
      </c>
      <c r="AZ732" t="s">
        <v>74</v>
      </c>
      <c r="BA732" t="s">
        <v>10391</v>
      </c>
      <c r="BB732" t="s">
        <v>10392</v>
      </c>
      <c r="BC732" t="s">
        <v>10392</v>
      </c>
      <c r="BD732" t="s">
        <v>74</v>
      </c>
      <c r="BE732" t="s">
        <v>74</v>
      </c>
      <c r="BF732" t="s">
        <v>74</v>
      </c>
      <c r="BG732" t="s">
        <v>74</v>
      </c>
      <c r="BH732" t="s">
        <v>74</v>
      </c>
      <c r="BI732">
        <v>1</v>
      </c>
      <c r="BJ732" t="s">
        <v>5712</v>
      </c>
      <c r="BK732" t="s">
        <v>854</v>
      </c>
      <c r="BL732" t="s">
        <v>4142</v>
      </c>
      <c r="BM732" t="s">
        <v>10393</v>
      </c>
      <c r="BN732" t="s">
        <v>74</v>
      </c>
      <c r="BO732" t="s">
        <v>74</v>
      </c>
      <c r="BP732" t="s">
        <v>74</v>
      </c>
      <c r="BQ732" t="s">
        <v>74</v>
      </c>
      <c r="BR732" t="s">
        <v>97</v>
      </c>
      <c r="BS732" t="s">
        <v>10394</v>
      </c>
      <c r="BT732" t="str">
        <f>HYPERLINK("https%3A%2F%2Fwww.webofscience.com%2Fwos%2Fwoscc%2Ffull-record%2FWOS:000187917800430","View Full Record in Web of Science")</f>
        <v>View Full Record in Web of Science</v>
      </c>
    </row>
    <row r="733" spans="1:72" x14ac:dyDescent="0.15">
      <c r="A733" t="s">
        <v>72</v>
      </c>
      <c r="B733" t="s">
        <v>10395</v>
      </c>
      <c r="C733" t="s">
        <v>74</v>
      </c>
      <c r="D733" t="s">
        <v>74</v>
      </c>
      <c r="E733" t="s">
        <v>74</v>
      </c>
      <c r="F733" t="s">
        <v>10395</v>
      </c>
      <c r="G733" t="s">
        <v>74</v>
      </c>
      <c r="H733" t="s">
        <v>74</v>
      </c>
      <c r="I733" t="s">
        <v>10396</v>
      </c>
      <c r="J733" t="s">
        <v>10380</v>
      </c>
      <c r="K733" t="s">
        <v>74</v>
      </c>
      <c r="L733" t="s">
        <v>74</v>
      </c>
      <c r="M733" t="s">
        <v>77</v>
      </c>
      <c r="N733" t="s">
        <v>52</v>
      </c>
      <c r="O733" t="s">
        <v>10381</v>
      </c>
      <c r="P733" t="s">
        <v>10382</v>
      </c>
      <c r="Q733" t="s">
        <v>10397</v>
      </c>
      <c r="R733" t="s">
        <v>74</v>
      </c>
      <c r="S733" t="s">
        <v>74</v>
      </c>
      <c r="T733" t="s">
        <v>74</v>
      </c>
      <c r="U733" t="s">
        <v>74</v>
      </c>
      <c r="V733" t="s">
        <v>74</v>
      </c>
      <c r="W733" t="s">
        <v>10398</v>
      </c>
      <c r="X733" t="s">
        <v>10399</v>
      </c>
      <c r="Y733" t="s">
        <v>74</v>
      </c>
      <c r="Z733" t="s">
        <v>10400</v>
      </c>
      <c r="AA733" t="s">
        <v>1168</v>
      </c>
      <c r="AB733" t="s">
        <v>74</v>
      </c>
      <c r="AC733" t="s">
        <v>74</v>
      </c>
      <c r="AD733" t="s">
        <v>74</v>
      </c>
      <c r="AE733" t="s">
        <v>74</v>
      </c>
      <c r="AF733" t="s">
        <v>74</v>
      </c>
      <c r="AG733">
        <v>0</v>
      </c>
      <c r="AH733">
        <v>0</v>
      </c>
      <c r="AI733">
        <v>0</v>
      </c>
      <c r="AJ733">
        <v>0</v>
      </c>
      <c r="AK733">
        <v>1</v>
      </c>
      <c r="AL733" t="s">
        <v>4346</v>
      </c>
      <c r="AM733" t="s">
        <v>540</v>
      </c>
      <c r="AN733" t="s">
        <v>4347</v>
      </c>
      <c r="AO733" t="s">
        <v>10387</v>
      </c>
      <c r="AP733" t="s">
        <v>74</v>
      </c>
      <c r="AQ733" t="s">
        <v>74</v>
      </c>
      <c r="AR733" t="s">
        <v>10388</v>
      </c>
      <c r="AS733" t="s">
        <v>10389</v>
      </c>
      <c r="AT733" t="s">
        <v>10390</v>
      </c>
      <c r="AU733">
        <v>2003</v>
      </c>
      <c r="AV733">
        <v>225</v>
      </c>
      <c r="AW733" t="s">
        <v>74</v>
      </c>
      <c r="AX733">
        <v>2</v>
      </c>
      <c r="AY733" t="s">
        <v>74</v>
      </c>
      <c r="AZ733" t="s">
        <v>74</v>
      </c>
      <c r="BA733" t="s">
        <v>10401</v>
      </c>
      <c r="BB733" t="s">
        <v>10402</v>
      </c>
      <c r="BC733" t="s">
        <v>10402</v>
      </c>
      <c r="BD733" t="s">
        <v>74</v>
      </c>
      <c r="BE733" t="s">
        <v>74</v>
      </c>
      <c r="BF733" t="s">
        <v>74</v>
      </c>
      <c r="BG733" t="s">
        <v>74</v>
      </c>
      <c r="BH733" t="s">
        <v>74</v>
      </c>
      <c r="BI733">
        <v>1</v>
      </c>
      <c r="BJ733" t="s">
        <v>5712</v>
      </c>
      <c r="BK733" t="s">
        <v>854</v>
      </c>
      <c r="BL733" t="s">
        <v>4142</v>
      </c>
      <c r="BM733" t="s">
        <v>10403</v>
      </c>
      <c r="BN733" t="s">
        <v>74</v>
      </c>
      <c r="BO733" t="s">
        <v>74</v>
      </c>
      <c r="BP733" t="s">
        <v>74</v>
      </c>
      <c r="BQ733" t="s">
        <v>74</v>
      </c>
      <c r="BR733" t="s">
        <v>97</v>
      </c>
      <c r="BS733" t="s">
        <v>10404</v>
      </c>
      <c r="BT733" t="str">
        <f>HYPERLINK("https%3A%2F%2Fwww.webofscience.com%2Fwos%2Fwoscc%2Ffull-record%2FWOS:000187918001521","View Full Record in Web of Science")</f>
        <v>View Full Record in Web of Science</v>
      </c>
    </row>
    <row r="734" spans="1:72" x14ac:dyDescent="0.15">
      <c r="A734" t="s">
        <v>72</v>
      </c>
      <c r="B734" t="s">
        <v>10405</v>
      </c>
      <c r="C734" t="s">
        <v>74</v>
      </c>
      <c r="D734" t="s">
        <v>74</v>
      </c>
      <c r="E734" t="s">
        <v>74</v>
      </c>
      <c r="F734" t="s">
        <v>10405</v>
      </c>
      <c r="G734" t="s">
        <v>74</v>
      </c>
      <c r="H734" t="s">
        <v>74</v>
      </c>
      <c r="I734" t="s">
        <v>10406</v>
      </c>
      <c r="J734" t="s">
        <v>10380</v>
      </c>
      <c r="K734" t="s">
        <v>74</v>
      </c>
      <c r="L734" t="s">
        <v>74</v>
      </c>
      <c r="M734" t="s">
        <v>77</v>
      </c>
      <c r="N734" t="s">
        <v>52</v>
      </c>
      <c r="O734" t="s">
        <v>10381</v>
      </c>
      <c r="P734" t="s">
        <v>10382</v>
      </c>
      <c r="Q734" t="s">
        <v>10383</v>
      </c>
      <c r="R734" t="s">
        <v>74</v>
      </c>
      <c r="S734" t="s">
        <v>74</v>
      </c>
      <c r="T734" t="s">
        <v>74</v>
      </c>
      <c r="U734" t="s">
        <v>74</v>
      </c>
      <c r="V734" t="s">
        <v>74</v>
      </c>
      <c r="W734" t="s">
        <v>10407</v>
      </c>
      <c r="X734" t="s">
        <v>10408</v>
      </c>
      <c r="Y734" t="s">
        <v>74</v>
      </c>
      <c r="Z734" t="s">
        <v>10409</v>
      </c>
      <c r="AA734" t="s">
        <v>74</v>
      </c>
      <c r="AB734" t="s">
        <v>74</v>
      </c>
      <c r="AC734" t="s">
        <v>74</v>
      </c>
      <c r="AD734" t="s">
        <v>74</v>
      </c>
      <c r="AE734" t="s">
        <v>74</v>
      </c>
      <c r="AF734" t="s">
        <v>74</v>
      </c>
      <c r="AG734">
        <v>0</v>
      </c>
      <c r="AH734">
        <v>0</v>
      </c>
      <c r="AI734">
        <v>1</v>
      </c>
      <c r="AJ734">
        <v>0</v>
      </c>
      <c r="AK734">
        <v>3</v>
      </c>
      <c r="AL734" t="s">
        <v>4346</v>
      </c>
      <c r="AM734" t="s">
        <v>540</v>
      </c>
      <c r="AN734" t="s">
        <v>4347</v>
      </c>
      <c r="AO734" t="s">
        <v>10387</v>
      </c>
      <c r="AP734" t="s">
        <v>74</v>
      </c>
      <c r="AQ734" t="s">
        <v>74</v>
      </c>
      <c r="AR734" t="s">
        <v>10388</v>
      </c>
      <c r="AS734" t="s">
        <v>10389</v>
      </c>
      <c r="AT734" t="s">
        <v>10390</v>
      </c>
      <c r="AU734">
        <v>2003</v>
      </c>
      <c r="AV734">
        <v>225</v>
      </c>
      <c r="AW734" t="s">
        <v>74</v>
      </c>
      <c r="AX734">
        <v>1</v>
      </c>
      <c r="AY734" t="s">
        <v>74</v>
      </c>
      <c r="AZ734" t="s">
        <v>74</v>
      </c>
      <c r="BA734" t="s">
        <v>10410</v>
      </c>
      <c r="BB734" t="s">
        <v>10411</v>
      </c>
      <c r="BC734" t="s">
        <v>10411</v>
      </c>
      <c r="BD734" t="s">
        <v>74</v>
      </c>
      <c r="BE734" t="s">
        <v>74</v>
      </c>
      <c r="BF734" t="s">
        <v>74</v>
      </c>
      <c r="BG734" t="s">
        <v>74</v>
      </c>
      <c r="BH734" t="s">
        <v>74</v>
      </c>
      <c r="BI734">
        <v>1</v>
      </c>
      <c r="BJ734" t="s">
        <v>5712</v>
      </c>
      <c r="BK734" t="s">
        <v>854</v>
      </c>
      <c r="BL734" t="s">
        <v>4142</v>
      </c>
      <c r="BM734" t="s">
        <v>10393</v>
      </c>
      <c r="BN734" t="s">
        <v>74</v>
      </c>
      <c r="BO734" t="s">
        <v>74</v>
      </c>
      <c r="BP734" t="s">
        <v>74</v>
      </c>
      <c r="BQ734" t="s">
        <v>74</v>
      </c>
      <c r="BR734" t="s">
        <v>97</v>
      </c>
      <c r="BS734" t="s">
        <v>10412</v>
      </c>
      <c r="BT734" t="str">
        <f>HYPERLINK("https%3A%2F%2Fwww.webofscience.com%2Fwos%2Fwoscc%2Ffull-record%2FWOS:000187917804289","View Full Record in Web of Science")</f>
        <v>View Full Record in Web of Science</v>
      </c>
    </row>
    <row r="735" spans="1:72" x14ac:dyDescent="0.15">
      <c r="A735" t="s">
        <v>72</v>
      </c>
      <c r="B735" t="s">
        <v>10413</v>
      </c>
      <c r="C735" t="s">
        <v>74</v>
      </c>
      <c r="D735" t="s">
        <v>74</v>
      </c>
      <c r="E735" t="s">
        <v>74</v>
      </c>
      <c r="F735" t="s">
        <v>10413</v>
      </c>
      <c r="G735" t="s">
        <v>74</v>
      </c>
      <c r="H735" t="s">
        <v>74</v>
      </c>
      <c r="I735" t="s">
        <v>10414</v>
      </c>
      <c r="J735" t="s">
        <v>10380</v>
      </c>
      <c r="K735" t="s">
        <v>74</v>
      </c>
      <c r="L735" t="s">
        <v>74</v>
      </c>
      <c r="M735" t="s">
        <v>77</v>
      </c>
      <c r="N735" t="s">
        <v>52</v>
      </c>
      <c r="O735" t="s">
        <v>10381</v>
      </c>
      <c r="P735" t="s">
        <v>10382</v>
      </c>
      <c r="Q735" t="s">
        <v>10383</v>
      </c>
      <c r="R735" t="s">
        <v>74</v>
      </c>
      <c r="S735" t="s">
        <v>74</v>
      </c>
      <c r="T735" t="s">
        <v>74</v>
      </c>
      <c r="U735" t="s">
        <v>74</v>
      </c>
      <c r="V735" t="s">
        <v>74</v>
      </c>
      <c r="W735" t="s">
        <v>10407</v>
      </c>
      <c r="X735" t="s">
        <v>10408</v>
      </c>
      <c r="Y735" t="s">
        <v>74</v>
      </c>
      <c r="Z735" t="s">
        <v>10415</v>
      </c>
      <c r="AA735" t="s">
        <v>74</v>
      </c>
      <c r="AB735" t="s">
        <v>74</v>
      </c>
      <c r="AC735" t="s">
        <v>74</v>
      </c>
      <c r="AD735" t="s">
        <v>74</v>
      </c>
      <c r="AE735" t="s">
        <v>74</v>
      </c>
      <c r="AF735" t="s">
        <v>74</v>
      </c>
      <c r="AG735">
        <v>0</v>
      </c>
      <c r="AH735">
        <v>0</v>
      </c>
      <c r="AI735">
        <v>0</v>
      </c>
      <c r="AJ735">
        <v>0</v>
      </c>
      <c r="AK735">
        <v>1</v>
      </c>
      <c r="AL735" t="s">
        <v>4346</v>
      </c>
      <c r="AM735" t="s">
        <v>540</v>
      </c>
      <c r="AN735" t="s">
        <v>4347</v>
      </c>
      <c r="AO735" t="s">
        <v>10387</v>
      </c>
      <c r="AP735" t="s">
        <v>74</v>
      </c>
      <c r="AQ735" t="s">
        <v>74</v>
      </c>
      <c r="AR735" t="s">
        <v>10388</v>
      </c>
      <c r="AS735" t="s">
        <v>10389</v>
      </c>
      <c r="AT735" t="s">
        <v>10390</v>
      </c>
      <c r="AU735">
        <v>2003</v>
      </c>
      <c r="AV735">
        <v>225</v>
      </c>
      <c r="AW735" t="s">
        <v>74</v>
      </c>
      <c r="AX735">
        <v>1</v>
      </c>
      <c r="AY735" t="s">
        <v>74</v>
      </c>
      <c r="AZ735" t="s">
        <v>74</v>
      </c>
      <c r="BA735" t="s">
        <v>10416</v>
      </c>
      <c r="BB735" t="s">
        <v>10411</v>
      </c>
      <c r="BC735" t="s">
        <v>10411</v>
      </c>
      <c r="BD735" t="s">
        <v>74</v>
      </c>
      <c r="BE735" t="s">
        <v>74</v>
      </c>
      <c r="BF735" t="s">
        <v>74</v>
      </c>
      <c r="BG735" t="s">
        <v>74</v>
      </c>
      <c r="BH735" t="s">
        <v>74</v>
      </c>
      <c r="BI735">
        <v>1</v>
      </c>
      <c r="BJ735" t="s">
        <v>5712</v>
      </c>
      <c r="BK735" t="s">
        <v>854</v>
      </c>
      <c r="BL735" t="s">
        <v>4142</v>
      </c>
      <c r="BM735" t="s">
        <v>10393</v>
      </c>
      <c r="BN735" t="s">
        <v>74</v>
      </c>
      <c r="BO735" t="s">
        <v>74</v>
      </c>
      <c r="BP735" t="s">
        <v>74</v>
      </c>
      <c r="BQ735" t="s">
        <v>74</v>
      </c>
      <c r="BR735" t="s">
        <v>97</v>
      </c>
      <c r="BS735" t="s">
        <v>10417</v>
      </c>
      <c r="BT735" t="str">
        <f>HYPERLINK("https%3A%2F%2Fwww.webofscience.com%2Fwos%2Fwoscc%2Ffull-record%2FWOS:000187917804288","View Full Record in Web of Science")</f>
        <v>View Full Record in Web of Science</v>
      </c>
    </row>
    <row r="736" spans="1:72" x14ac:dyDescent="0.15">
      <c r="A736" t="s">
        <v>72</v>
      </c>
      <c r="B736" t="s">
        <v>10418</v>
      </c>
      <c r="C736" t="s">
        <v>74</v>
      </c>
      <c r="D736" t="s">
        <v>74</v>
      </c>
      <c r="E736" t="s">
        <v>74</v>
      </c>
      <c r="F736" t="s">
        <v>10418</v>
      </c>
      <c r="G736" t="s">
        <v>74</v>
      </c>
      <c r="H736" t="s">
        <v>74</v>
      </c>
      <c r="I736" t="s">
        <v>10419</v>
      </c>
      <c r="J736" t="s">
        <v>1254</v>
      </c>
      <c r="K736" t="s">
        <v>74</v>
      </c>
      <c r="L736" t="s">
        <v>74</v>
      </c>
      <c r="M736" t="s">
        <v>77</v>
      </c>
      <c r="N736" t="s">
        <v>78</v>
      </c>
      <c r="O736" t="s">
        <v>74</v>
      </c>
      <c r="P736" t="s">
        <v>74</v>
      </c>
      <c r="Q736" t="s">
        <v>74</v>
      </c>
      <c r="R736" t="s">
        <v>74</v>
      </c>
      <c r="S736" t="s">
        <v>74</v>
      </c>
      <c r="T736" t="s">
        <v>74</v>
      </c>
      <c r="U736" t="s">
        <v>10420</v>
      </c>
      <c r="V736" t="s">
        <v>10421</v>
      </c>
      <c r="W736" t="s">
        <v>10422</v>
      </c>
      <c r="X736" t="s">
        <v>10423</v>
      </c>
      <c r="Y736" t="s">
        <v>10424</v>
      </c>
      <c r="Z736" t="s">
        <v>10425</v>
      </c>
      <c r="AA736" t="s">
        <v>10426</v>
      </c>
      <c r="AB736" t="s">
        <v>74</v>
      </c>
      <c r="AC736" t="s">
        <v>10427</v>
      </c>
      <c r="AD736" t="s">
        <v>10428</v>
      </c>
      <c r="AE736" t="s">
        <v>74</v>
      </c>
      <c r="AF736" t="s">
        <v>74</v>
      </c>
      <c r="AG736">
        <v>30</v>
      </c>
      <c r="AH736">
        <v>38</v>
      </c>
      <c r="AI736">
        <v>41</v>
      </c>
      <c r="AJ736">
        <v>0</v>
      </c>
      <c r="AK736">
        <v>15</v>
      </c>
      <c r="AL736" t="s">
        <v>1263</v>
      </c>
      <c r="AM736" t="s">
        <v>540</v>
      </c>
      <c r="AN736" t="s">
        <v>1264</v>
      </c>
      <c r="AO736" t="s">
        <v>1265</v>
      </c>
      <c r="AP736" t="s">
        <v>1266</v>
      </c>
      <c r="AQ736" t="s">
        <v>74</v>
      </c>
      <c r="AR736" t="s">
        <v>1267</v>
      </c>
      <c r="AS736" t="s">
        <v>1268</v>
      </c>
      <c r="AT736" t="s">
        <v>10390</v>
      </c>
      <c r="AU736">
        <v>2003</v>
      </c>
      <c r="AV736">
        <v>69</v>
      </c>
      <c r="AW736">
        <v>3</v>
      </c>
      <c r="AX736" t="s">
        <v>74</v>
      </c>
      <c r="AY736" t="s">
        <v>74</v>
      </c>
      <c r="AZ736" t="s">
        <v>74</v>
      </c>
      <c r="BA736" t="s">
        <v>74</v>
      </c>
      <c r="BB736">
        <v>1457</v>
      </c>
      <c r="BC736">
        <v>1464</v>
      </c>
      <c r="BD736" t="s">
        <v>74</v>
      </c>
      <c r="BE736" t="s">
        <v>10429</v>
      </c>
      <c r="BF736" t="str">
        <f>HYPERLINK("http://dx.doi.org/10.1128/AEM.69.3.1457-1464.2003","http://dx.doi.org/10.1128/AEM.69.3.1457-1464.2003")</f>
        <v>http://dx.doi.org/10.1128/AEM.69.3.1457-1464.2003</v>
      </c>
      <c r="BG736" t="s">
        <v>74</v>
      </c>
      <c r="BH736" t="s">
        <v>74</v>
      </c>
      <c r="BI736">
        <v>8</v>
      </c>
      <c r="BJ736" t="s">
        <v>1270</v>
      </c>
      <c r="BK736" t="s">
        <v>94</v>
      </c>
      <c r="BL736" t="s">
        <v>1270</v>
      </c>
      <c r="BM736" t="s">
        <v>10430</v>
      </c>
      <c r="BN736">
        <v>12620829</v>
      </c>
      <c r="BO736" t="s">
        <v>154</v>
      </c>
      <c r="BP736" t="s">
        <v>74</v>
      </c>
      <c r="BQ736" t="s">
        <v>74</v>
      </c>
      <c r="BR736" t="s">
        <v>97</v>
      </c>
      <c r="BS736" t="s">
        <v>10431</v>
      </c>
      <c r="BT736" t="str">
        <f>HYPERLINK("https%3A%2F%2Fwww.webofscience.com%2Fwos%2Fwoscc%2Ffull-record%2FWOS:000181435600016","View Full Record in Web of Science")</f>
        <v>View Full Record in Web of Science</v>
      </c>
    </row>
    <row r="737" spans="1:72" x14ac:dyDescent="0.15">
      <c r="A737" t="s">
        <v>72</v>
      </c>
      <c r="B737" t="s">
        <v>10432</v>
      </c>
      <c r="C737" t="s">
        <v>74</v>
      </c>
      <c r="D737" t="s">
        <v>74</v>
      </c>
      <c r="E737" t="s">
        <v>74</v>
      </c>
      <c r="F737" t="s">
        <v>10432</v>
      </c>
      <c r="G737" t="s">
        <v>74</v>
      </c>
      <c r="H737" t="s">
        <v>74</v>
      </c>
      <c r="I737" t="s">
        <v>10433</v>
      </c>
      <c r="J737" t="s">
        <v>1254</v>
      </c>
      <c r="K737" t="s">
        <v>74</v>
      </c>
      <c r="L737" t="s">
        <v>74</v>
      </c>
      <c r="M737" t="s">
        <v>77</v>
      </c>
      <c r="N737" t="s">
        <v>78</v>
      </c>
      <c r="O737" t="s">
        <v>74</v>
      </c>
      <c r="P737" t="s">
        <v>74</v>
      </c>
      <c r="Q737" t="s">
        <v>74</v>
      </c>
      <c r="R737" t="s">
        <v>74</v>
      </c>
      <c r="S737" t="s">
        <v>74</v>
      </c>
      <c r="T737" t="s">
        <v>74</v>
      </c>
      <c r="U737" t="s">
        <v>10434</v>
      </c>
      <c r="V737" t="s">
        <v>10435</v>
      </c>
      <c r="W737" t="s">
        <v>3132</v>
      </c>
      <c r="X737" t="s">
        <v>706</v>
      </c>
      <c r="Y737" t="s">
        <v>10436</v>
      </c>
      <c r="Z737" t="s">
        <v>74</v>
      </c>
      <c r="AA737" t="s">
        <v>10437</v>
      </c>
      <c r="AB737" t="s">
        <v>74</v>
      </c>
      <c r="AC737" t="s">
        <v>74</v>
      </c>
      <c r="AD737" t="s">
        <v>74</v>
      </c>
      <c r="AE737" t="s">
        <v>74</v>
      </c>
      <c r="AF737" t="s">
        <v>74</v>
      </c>
      <c r="AG737">
        <v>17</v>
      </c>
      <c r="AH737">
        <v>91</v>
      </c>
      <c r="AI737">
        <v>104</v>
      </c>
      <c r="AJ737">
        <v>1</v>
      </c>
      <c r="AK737">
        <v>18</v>
      </c>
      <c r="AL737" t="s">
        <v>1263</v>
      </c>
      <c r="AM737" t="s">
        <v>540</v>
      </c>
      <c r="AN737" t="s">
        <v>1264</v>
      </c>
      <c r="AO737" t="s">
        <v>1265</v>
      </c>
      <c r="AP737" t="s">
        <v>74</v>
      </c>
      <c r="AQ737" t="s">
        <v>74</v>
      </c>
      <c r="AR737" t="s">
        <v>1267</v>
      </c>
      <c r="AS737" t="s">
        <v>1268</v>
      </c>
      <c r="AT737" t="s">
        <v>10390</v>
      </c>
      <c r="AU737">
        <v>2003</v>
      </c>
      <c r="AV737">
        <v>69</v>
      </c>
      <c r="AW737">
        <v>3</v>
      </c>
      <c r="AX737" t="s">
        <v>74</v>
      </c>
      <c r="AY737" t="s">
        <v>74</v>
      </c>
      <c r="AZ737" t="s">
        <v>74</v>
      </c>
      <c r="BA737" t="s">
        <v>74</v>
      </c>
      <c r="BB737">
        <v>1488</v>
      </c>
      <c r="BC737">
        <v>1491</v>
      </c>
      <c r="BD737" t="s">
        <v>74</v>
      </c>
      <c r="BE737" t="s">
        <v>10438</v>
      </c>
      <c r="BF737" t="str">
        <f>HYPERLINK("http://dx.doi.org/10.1128/AEM.69.3.1488-1491.2003","http://dx.doi.org/10.1128/AEM.69.3.1488-1491.2003")</f>
        <v>http://dx.doi.org/10.1128/AEM.69.3.1488-1491.2003</v>
      </c>
      <c r="BG737" t="s">
        <v>74</v>
      </c>
      <c r="BH737" t="s">
        <v>74</v>
      </c>
      <c r="BI737">
        <v>4</v>
      </c>
      <c r="BJ737" t="s">
        <v>1270</v>
      </c>
      <c r="BK737" t="s">
        <v>94</v>
      </c>
      <c r="BL737" t="s">
        <v>1270</v>
      </c>
      <c r="BM737" t="s">
        <v>10430</v>
      </c>
      <c r="BN737">
        <v>12620833</v>
      </c>
      <c r="BO737" t="s">
        <v>154</v>
      </c>
      <c r="BP737" t="s">
        <v>74</v>
      </c>
      <c r="BQ737" t="s">
        <v>74</v>
      </c>
      <c r="BR737" t="s">
        <v>97</v>
      </c>
      <c r="BS737" t="s">
        <v>10439</v>
      </c>
      <c r="BT737" t="str">
        <f>HYPERLINK("https%3A%2F%2Fwww.webofscience.com%2Fwos%2Fwoscc%2Ffull-record%2FWOS:000181435600020","View Full Record in Web of Science")</f>
        <v>View Full Record in Web of Science</v>
      </c>
    </row>
    <row r="738" spans="1:72" x14ac:dyDescent="0.15">
      <c r="A738" t="s">
        <v>72</v>
      </c>
      <c r="B738" t="s">
        <v>10440</v>
      </c>
      <c r="C738" t="s">
        <v>74</v>
      </c>
      <c r="D738" t="s">
        <v>74</v>
      </c>
      <c r="E738" t="s">
        <v>74</v>
      </c>
      <c r="F738" t="s">
        <v>10440</v>
      </c>
      <c r="G738" t="s">
        <v>74</v>
      </c>
      <c r="H738" t="s">
        <v>74</v>
      </c>
      <c r="I738" t="s">
        <v>10441</v>
      </c>
      <c r="J738" t="s">
        <v>1276</v>
      </c>
      <c r="K738" t="s">
        <v>74</v>
      </c>
      <c r="L738" t="s">
        <v>74</v>
      </c>
      <c r="M738" t="s">
        <v>77</v>
      </c>
      <c r="N738" t="s">
        <v>159</v>
      </c>
      <c r="O738" t="s">
        <v>10442</v>
      </c>
      <c r="P738" t="s">
        <v>10443</v>
      </c>
      <c r="Q738" t="s">
        <v>10444</v>
      </c>
      <c r="R738" t="s">
        <v>74</v>
      </c>
      <c r="S738" t="s">
        <v>74</v>
      </c>
      <c r="T738" t="s">
        <v>10445</v>
      </c>
      <c r="U738" t="s">
        <v>10446</v>
      </c>
      <c r="V738" t="s">
        <v>10447</v>
      </c>
      <c r="W738" t="s">
        <v>10448</v>
      </c>
      <c r="X738" t="s">
        <v>10449</v>
      </c>
      <c r="Y738" t="s">
        <v>10450</v>
      </c>
      <c r="Z738" t="s">
        <v>10451</v>
      </c>
      <c r="AA738" t="s">
        <v>74</v>
      </c>
      <c r="AB738" t="s">
        <v>74</v>
      </c>
      <c r="AC738" t="s">
        <v>74</v>
      </c>
      <c r="AD738" t="s">
        <v>74</v>
      </c>
      <c r="AE738" t="s">
        <v>74</v>
      </c>
      <c r="AF738" t="s">
        <v>74</v>
      </c>
      <c r="AG738">
        <v>35</v>
      </c>
      <c r="AH738">
        <v>41</v>
      </c>
      <c r="AI738">
        <v>47</v>
      </c>
      <c r="AJ738">
        <v>0</v>
      </c>
      <c r="AK738">
        <v>17</v>
      </c>
      <c r="AL738" t="s">
        <v>1284</v>
      </c>
      <c r="AM738" t="s">
        <v>1285</v>
      </c>
      <c r="AN738" t="s">
        <v>1286</v>
      </c>
      <c r="AO738" t="s">
        <v>1287</v>
      </c>
      <c r="AP738" t="s">
        <v>1288</v>
      </c>
      <c r="AQ738" t="s">
        <v>74</v>
      </c>
      <c r="AR738" t="s">
        <v>1276</v>
      </c>
      <c r="AS738" t="s">
        <v>1289</v>
      </c>
      <c r="AT738" t="s">
        <v>10452</v>
      </c>
      <c r="AU738">
        <v>2003</v>
      </c>
      <c r="AV738">
        <v>3</v>
      </c>
      <c r="AW738">
        <v>1</v>
      </c>
      <c r="AX738" t="s">
        <v>74</v>
      </c>
      <c r="AY738" t="s">
        <v>74</v>
      </c>
      <c r="AZ738" t="s">
        <v>74</v>
      </c>
      <c r="BA738" t="s">
        <v>74</v>
      </c>
      <c r="BB738">
        <v>181</v>
      </c>
      <c r="BC738">
        <v>191</v>
      </c>
      <c r="BD738" t="s">
        <v>74</v>
      </c>
      <c r="BE738" t="s">
        <v>10453</v>
      </c>
      <c r="BF738" t="str">
        <f>HYPERLINK("http://dx.doi.org/10.1089/153110703321632507","http://dx.doi.org/10.1089/153110703321632507")</f>
        <v>http://dx.doi.org/10.1089/153110703321632507</v>
      </c>
      <c r="BG738" t="s">
        <v>74</v>
      </c>
      <c r="BH738" t="s">
        <v>74</v>
      </c>
      <c r="BI738">
        <v>11</v>
      </c>
      <c r="BJ738" t="s">
        <v>1292</v>
      </c>
      <c r="BK738" t="s">
        <v>177</v>
      </c>
      <c r="BL738" t="s">
        <v>1293</v>
      </c>
      <c r="BM738" t="s">
        <v>10454</v>
      </c>
      <c r="BN738">
        <v>12804371</v>
      </c>
      <c r="BO738" t="s">
        <v>74</v>
      </c>
      <c r="BP738" t="s">
        <v>74</v>
      </c>
      <c r="BQ738" t="s">
        <v>74</v>
      </c>
      <c r="BR738" t="s">
        <v>97</v>
      </c>
      <c r="BS738" t="s">
        <v>10455</v>
      </c>
      <c r="BT738" t="str">
        <f>HYPERLINK("https%3A%2F%2Fwww.webofscience.com%2Fwos%2Fwoscc%2Ffull-record%2FWOS:000182753000013","View Full Record in Web of Science")</f>
        <v>View Full Record in Web of Science</v>
      </c>
    </row>
    <row r="739" spans="1:72" x14ac:dyDescent="0.15">
      <c r="A739" t="s">
        <v>72</v>
      </c>
      <c r="B739" t="s">
        <v>10456</v>
      </c>
      <c r="C739" t="s">
        <v>74</v>
      </c>
      <c r="D739" t="s">
        <v>74</v>
      </c>
      <c r="E739" t="s">
        <v>74</v>
      </c>
      <c r="F739" t="s">
        <v>10457</v>
      </c>
      <c r="G739" t="s">
        <v>74</v>
      </c>
      <c r="H739" t="s">
        <v>74</v>
      </c>
      <c r="I739" t="s">
        <v>10458</v>
      </c>
      <c r="J739" t="s">
        <v>10459</v>
      </c>
      <c r="K739" t="s">
        <v>74</v>
      </c>
      <c r="L739" t="s">
        <v>74</v>
      </c>
      <c r="M739" t="s">
        <v>77</v>
      </c>
      <c r="N739" t="s">
        <v>7189</v>
      </c>
      <c r="O739" t="s">
        <v>74</v>
      </c>
      <c r="P739" t="s">
        <v>74</v>
      </c>
      <c r="Q739" t="s">
        <v>74</v>
      </c>
      <c r="R739" t="s">
        <v>74</v>
      </c>
      <c r="S739" t="s">
        <v>74</v>
      </c>
      <c r="T739" t="s">
        <v>74</v>
      </c>
      <c r="U739" t="s">
        <v>74</v>
      </c>
      <c r="V739" t="s">
        <v>74</v>
      </c>
      <c r="W739" t="s">
        <v>10460</v>
      </c>
      <c r="X739" t="s">
        <v>351</v>
      </c>
      <c r="Y739" t="s">
        <v>10461</v>
      </c>
      <c r="Z739" t="s">
        <v>74</v>
      </c>
      <c r="AA739" t="s">
        <v>74</v>
      </c>
      <c r="AB739" t="s">
        <v>74</v>
      </c>
      <c r="AC739" t="s">
        <v>74</v>
      </c>
      <c r="AD739" t="s">
        <v>74</v>
      </c>
      <c r="AE739" t="s">
        <v>74</v>
      </c>
      <c r="AF739" t="s">
        <v>74</v>
      </c>
      <c r="AG739">
        <v>2</v>
      </c>
      <c r="AH739">
        <v>0</v>
      </c>
      <c r="AI739">
        <v>0</v>
      </c>
      <c r="AJ739">
        <v>0</v>
      </c>
      <c r="AK739">
        <v>0</v>
      </c>
      <c r="AL739" t="s">
        <v>10462</v>
      </c>
      <c r="AM739" t="s">
        <v>10463</v>
      </c>
      <c r="AN739" t="s">
        <v>10464</v>
      </c>
      <c r="AO739" t="s">
        <v>10465</v>
      </c>
      <c r="AP739" t="s">
        <v>74</v>
      </c>
      <c r="AQ739" t="s">
        <v>74</v>
      </c>
      <c r="AR739" t="s">
        <v>10466</v>
      </c>
      <c r="AS739" t="s">
        <v>74</v>
      </c>
      <c r="AT739" t="s">
        <v>10390</v>
      </c>
      <c r="AU739">
        <v>2003</v>
      </c>
      <c r="AV739">
        <v>41</v>
      </c>
      <c r="AW739">
        <v>1</v>
      </c>
      <c r="AX739" t="s">
        <v>74</v>
      </c>
      <c r="AY739" t="s">
        <v>74</v>
      </c>
      <c r="AZ739" t="s">
        <v>74</v>
      </c>
      <c r="BA739" t="s">
        <v>74</v>
      </c>
      <c r="BB739">
        <v>95</v>
      </c>
      <c r="BC739">
        <v>97</v>
      </c>
      <c r="BD739" t="s">
        <v>74</v>
      </c>
      <c r="BE739" t="s">
        <v>74</v>
      </c>
      <c r="BF739" t="s">
        <v>74</v>
      </c>
      <c r="BG739" t="s">
        <v>74</v>
      </c>
      <c r="BH739" t="s">
        <v>74</v>
      </c>
      <c r="BI739">
        <v>3</v>
      </c>
      <c r="BJ739" t="s">
        <v>10467</v>
      </c>
      <c r="BK739" t="s">
        <v>7200</v>
      </c>
      <c r="BL739" t="s">
        <v>10467</v>
      </c>
      <c r="BM739" t="s">
        <v>10468</v>
      </c>
      <c r="BN739" t="s">
        <v>74</v>
      </c>
      <c r="BO739" t="s">
        <v>74</v>
      </c>
      <c r="BP739" t="s">
        <v>74</v>
      </c>
      <c r="BQ739" t="s">
        <v>74</v>
      </c>
      <c r="BR739" t="s">
        <v>97</v>
      </c>
      <c r="BS739" t="s">
        <v>10469</v>
      </c>
      <c r="BT739" t="str">
        <f>HYPERLINK("https%3A%2F%2Fwww.webofscience.com%2Fwos%2Fwoscc%2Ffull-record%2FWOS:000208570200011","View Full Record in Web of Science")</f>
        <v>View Full Record in Web of Science</v>
      </c>
    </row>
    <row r="740" spans="1:72" x14ac:dyDescent="0.15">
      <c r="A740" t="s">
        <v>72</v>
      </c>
      <c r="B740" t="s">
        <v>10470</v>
      </c>
      <c r="C740" t="s">
        <v>74</v>
      </c>
      <c r="D740" t="s">
        <v>74</v>
      </c>
      <c r="E740" t="s">
        <v>74</v>
      </c>
      <c r="F740" t="s">
        <v>10470</v>
      </c>
      <c r="G740" t="s">
        <v>74</v>
      </c>
      <c r="H740" t="s">
        <v>74</v>
      </c>
      <c r="I740" t="s">
        <v>10471</v>
      </c>
      <c r="J740" t="s">
        <v>10472</v>
      </c>
      <c r="K740" t="s">
        <v>74</v>
      </c>
      <c r="L740" t="s">
        <v>74</v>
      </c>
      <c r="M740" t="s">
        <v>77</v>
      </c>
      <c r="N740" t="s">
        <v>773</v>
      </c>
      <c r="O740" t="s">
        <v>74</v>
      </c>
      <c r="P740" t="s">
        <v>74</v>
      </c>
      <c r="Q740" t="s">
        <v>74</v>
      </c>
      <c r="R740" t="s">
        <v>74</v>
      </c>
      <c r="S740" t="s">
        <v>74</v>
      </c>
      <c r="T740" t="s">
        <v>74</v>
      </c>
      <c r="U740" t="s">
        <v>74</v>
      </c>
      <c r="V740" t="s">
        <v>74</v>
      </c>
      <c r="W740" t="s">
        <v>10473</v>
      </c>
      <c r="X740" t="s">
        <v>9440</v>
      </c>
      <c r="Y740" t="s">
        <v>10474</v>
      </c>
      <c r="Z740" t="s">
        <v>74</v>
      </c>
      <c r="AA740" t="s">
        <v>10475</v>
      </c>
      <c r="AB740" t="s">
        <v>10476</v>
      </c>
      <c r="AC740" t="s">
        <v>74</v>
      </c>
      <c r="AD740" t="s">
        <v>74</v>
      </c>
      <c r="AE740" t="s">
        <v>74</v>
      </c>
      <c r="AF740" t="s">
        <v>74</v>
      </c>
      <c r="AG740">
        <v>6</v>
      </c>
      <c r="AH740">
        <v>1</v>
      </c>
      <c r="AI740">
        <v>1</v>
      </c>
      <c r="AJ740">
        <v>0</v>
      </c>
      <c r="AK740">
        <v>0</v>
      </c>
      <c r="AL740" t="s">
        <v>10477</v>
      </c>
      <c r="AM740" t="s">
        <v>10478</v>
      </c>
      <c r="AN740" t="s">
        <v>10479</v>
      </c>
      <c r="AO740" t="s">
        <v>10480</v>
      </c>
      <c r="AP740" t="s">
        <v>74</v>
      </c>
      <c r="AQ740" t="s">
        <v>74</v>
      </c>
      <c r="AR740" t="s">
        <v>10481</v>
      </c>
      <c r="AS740" t="s">
        <v>10482</v>
      </c>
      <c r="AT740" t="s">
        <v>10390</v>
      </c>
      <c r="AU740">
        <v>2003</v>
      </c>
      <c r="AV740">
        <v>38</v>
      </c>
      <c r="AW740">
        <v>1</v>
      </c>
      <c r="AX740" t="s">
        <v>74</v>
      </c>
      <c r="AY740" t="s">
        <v>74</v>
      </c>
      <c r="AZ740" t="s">
        <v>74</v>
      </c>
      <c r="BA740" t="s">
        <v>74</v>
      </c>
      <c r="BB740">
        <v>133</v>
      </c>
      <c r="BC740">
        <v>140</v>
      </c>
      <c r="BD740" t="s">
        <v>74</v>
      </c>
      <c r="BE740" t="s">
        <v>10483</v>
      </c>
      <c r="BF740" t="str">
        <f>HYPERLINK("http://dx.doi.org/10.1080/1036114032000056305","http://dx.doi.org/10.1080/1036114032000056305")</f>
        <v>http://dx.doi.org/10.1080/1036114032000056305</v>
      </c>
      <c r="BG740" t="s">
        <v>74</v>
      </c>
      <c r="BH740" t="s">
        <v>74</v>
      </c>
      <c r="BI740">
        <v>8</v>
      </c>
      <c r="BJ740" t="s">
        <v>10484</v>
      </c>
      <c r="BK740" t="s">
        <v>7200</v>
      </c>
      <c r="BL740" t="s">
        <v>10485</v>
      </c>
      <c r="BM740" t="s">
        <v>10486</v>
      </c>
      <c r="BN740" t="s">
        <v>74</v>
      </c>
      <c r="BO740" t="s">
        <v>74</v>
      </c>
      <c r="BP740" t="s">
        <v>74</v>
      </c>
      <c r="BQ740" t="s">
        <v>74</v>
      </c>
      <c r="BR740" t="s">
        <v>97</v>
      </c>
      <c r="BS740" t="s">
        <v>10487</v>
      </c>
      <c r="BT740" t="str">
        <f>HYPERLINK("https%3A%2F%2Fwww.webofscience.com%2Fwos%2Fwoscc%2Ffull-record%2FWOS:000182331600008","View Full Record in Web of Science")</f>
        <v>View Full Record in Web of Science</v>
      </c>
    </row>
    <row r="741" spans="1:72" x14ac:dyDescent="0.15">
      <c r="A741" t="s">
        <v>72</v>
      </c>
      <c r="B741" t="s">
        <v>10488</v>
      </c>
      <c r="C741" t="s">
        <v>74</v>
      </c>
      <c r="D741" t="s">
        <v>74</v>
      </c>
      <c r="E741" t="s">
        <v>74</v>
      </c>
      <c r="F741" t="s">
        <v>10488</v>
      </c>
      <c r="G741" t="s">
        <v>74</v>
      </c>
      <c r="H741" t="s">
        <v>74</v>
      </c>
      <c r="I741" t="s">
        <v>10489</v>
      </c>
      <c r="J741" t="s">
        <v>1338</v>
      </c>
      <c r="K741" t="s">
        <v>74</v>
      </c>
      <c r="L741" t="s">
        <v>74</v>
      </c>
      <c r="M741" t="s">
        <v>77</v>
      </c>
      <c r="N741" t="s">
        <v>78</v>
      </c>
      <c r="O741" t="s">
        <v>74</v>
      </c>
      <c r="P741" t="s">
        <v>74</v>
      </c>
      <c r="Q741" t="s">
        <v>74</v>
      </c>
      <c r="R741" t="s">
        <v>74</v>
      </c>
      <c r="S741" t="s">
        <v>74</v>
      </c>
      <c r="T741" t="s">
        <v>74</v>
      </c>
      <c r="U741" t="s">
        <v>10490</v>
      </c>
      <c r="V741" t="s">
        <v>10491</v>
      </c>
      <c r="W741" t="s">
        <v>9093</v>
      </c>
      <c r="X741" t="s">
        <v>5080</v>
      </c>
      <c r="Y741" t="s">
        <v>10492</v>
      </c>
      <c r="Z741" t="s">
        <v>74</v>
      </c>
      <c r="AA741" t="s">
        <v>9095</v>
      </c>
      <c r="AB741" t="s">
        <v>9096</v>
      </c>
      <c r="AC741" t="s">
        <v>74</v>
      </c>
      <c r="AD741" t="s">
        <v>74</v>
      </c>
      <c r="AE741" t="s">
        <v>74</v>
      </c>
      <c r="AF741" t="s">
        <v>74</v>
      </c>
      <c r="AG741">
        <v>30</v>
      </c>
      <c r="AH741">
        <v>0</v>
      </c>
      <c r="AI741">
        <v>0</v>
      </c>
      <c r="AJ741">
        <v>0</v>
      </c>
      <c r="AK741">
        <v>0</v>
      </c>
      <c r="AL741" t="s">
        <v>1344</v>
      </c>
      <c r="AM741" t="s">
        <v>1345</v>
      </c>
      <c r="AN741" t="s">
        <v>1346</v>
      </c>
      <c r="AO741" t="s">
        <v>1347</v>
      </c>
      <c r="AP741" t="s">
        <v>74</v>
      </c>
      <c r="AQ741" t="s">
        <v>74</v>
      </c>
      <c r="AR741" t="s">
        <v>1348</v>
      </c>
      <c r="AS741" t="s">
        <v>1349</v>
      </c>
      <c r="AT741" t="s">
        <v>10390</v>
      </c>
      <c r="AU741">
        <v>2003</v>
      </c>
      <c r="AV741">
        <v>52</v>
      </c>
      <c r="AW741">
        <v>1</v>
      </c>
      <c r="AX741" t="s">
        <v>74</v>
      </c>
      <c r="AY741" t="s">
        <v>74</v>
      </c>
      <c r="AZ741" t="s">
        <v>74</v>
      </c>
      <c r="BA741" t="s">
        <v>74</v>
      </c>
      <c r="BB741">
        <v>1</v>
      </c>
      <c r="BC741">
        <v>9</v>
      </c>
      <c r="BD741" t="s">
        <v>74</v>
      </c>
      <c r="BE741" t="s">
        <v>74</v>
      </c>
      <c r="BF741" t="s">
        <v>74</v>
      </c>
      <c r="BG741" t="s">
        <v>74</v>
      </c>
      <c r="BH741" t="s">
        <v>74</v>
      </c>
      <c r="BI741">
        <v>9</v>
      </c>
      <c r="BJ741" t="s">
        <v>93</v>
      </c>
      <c r="BK741" t="s">
        <v>94</v>
      </c>
      <c r="BL741" t="s">
        <v>93</v>
      </c>
      <c r="BM741" t="s">
        <v>10493</v>
      </c>
      <c r="BN741" t="s">
        <v>74</v>
      </c>
      <c r="BO741" t="s">
        <v>74</v>
      </c>
      <c r="BP741" t="s">
        <v>74</v>
      </c>
      <c r="BQ741" t="s">
        <v>74</v>
      </c>
      <c r="BR741" t="s">
        <v>97</v>
      </c>
      <c r="BS741" t="s">
        <v>10494</v>
      </c>
      <c r="BT741" t="str">
        <f>HYPERLINK("https%3A%2F%2Fwww.webofscience.com%2Fwos%2Fwoscc%2Ffull-record%2FWOS:000182774200001","View Full Record in Web of Science")</f>
        <v>View Full Record in Web of Science</v>
      </c>
    </row>
    <row r="742" spans="1:72" x14ac:dyDescent="0.15">
      <c r="A742" t="s">
        <v>72</v>
      </c>
      <c r="B742" t="s">
        <v>10495</v>
      </c>
      <c r="C742" t="s">
        <v>74</v>
      </c>
      <c r="D742" t="s">
        <v>74</v>
      </c>
      <c r="E742" t="s">
        <v>74</v>
      </c>
      <c r="F742" t="s">
        <v>10495</v>
      </c>
      <c r="G742" t="s">
        <v>74</v>
      </c>
      <c r="H742" t="s">
        <v>74</v>
      </c>
      <c r="I742" t="s">
        <v>10496</v>
      </c>
      <c r="J742" t="s">
        <v>10497</v>
      </c>
      <c r="K742" t="s">
        <v>74</v>
      </c>
      <c r="L742" t="s">
        <v>74</v>
      </c>
      <c r="M742" t="s">
        <v>77</v>
      </c>
      <c r="N742" t="s">
        <v>78</v>
      </c>
      <c r="O742" t="s">
        <v>74</v>
      </c>
      <c r="P742" t="s">
        <v>74</v>
      </c>
      <c r="Q742" t="s">
        <v>74</v>
      </c>
      <c r="R742" t="s">
        <v>74</v>
      </c>
      <c r="S742" t="s">
        <v>74</v>
      </c>
      <c r="T742" t="s">
        <v>10498</v>
      </c>
      <c r="U742" t="s">
        <v>10499</v>
      </c>
      <c r="V742" t="s">
        <v>10500</v>
      </c>
      <c r="W742" t="s">
        <v>3458</v>
      </c>
      <c r="X742" t="s">
        <v>457</v>
      </c>
      <c r="Y742" t="s">
        <v>10501</v>
      </c>
      <c r="Z742" t="s">
        <v>3460</v>
      </c>
      <c r="AA742" t="s">
        <v>1392</v>
      </c>
      <c r="AB742" t="s">
        <v>74</v>
      </c>
      <c r="AC742" t="s">
        <v>74</v>
      </c>
      <c r="AD742" t="s">
        <v>74</v>
      </c>
      <c r="AE742" t="s">
        <v>74</v>
      </c>
      <c r="AF742" t="s">
        <v>74</v>
      </c>
      <c r="AG742">
        <v>93</v>
      </c>
      <c r="AH742">
        <v>132</v>
      </c>
      <c r="AI742">
        <v>140</v>
      </c>
      <c r="AJ742">
        <v>0</v>
      </c>
      <c r="AK742">
        <v>40</v>
      </c>
      <c r="AL742" t="s">
        <v>188</v>
      </c>
      <c r="AM742" t="s">
        <v>170</v>
      </c>
      <c r="AN742" t="s">
        <v>189</v>
      </c>
      <c r="AO742" t="s">
        <v>10502</v>
      </c>
      <c r="AP742" t="s">
        <v>10503</v>
      </c>
      <c r="AQ742" t="s">
        <v>74</v>
      </c>
      <c r="AR742" t="s">
        <v>10504</v>
      </c>
      <c r="AS742" t="s">
        <v>10505</v>
      </c>
      <c r="AT742" t="s">
        <v>10390</v>
      </c>
      <c r="AU742">
        <v>2003</v>
      </c>
      <c r="AV742">
        <v>78</v>
      </c>
      <c r="AW742">
        <v>3</v>
      </c>
      <c r="AX742" t="s">
        <v>74</v>
      </c>
      <c r="AY742" t="s">
        <v>74</v>
      </c>
      <c r="AZ742" t="s">
        <v>74</v>
      </c>
      <c r="BA742" t="s">
        <v>74</v>
      </c>
      <c r="BB742">
        <v>401</v>
      </c>
      <c r="BC742">
        <v>414</v>
      </c>
      <c r="BD742" t="s">
        <v>74</v>
      </c>
      <c r="BE742" t="s">
        <v>10506</v>
      </c>
      <c r="BF742" t="str">
        <f>HYPERLINK("http://dx.doi.org/10.1046/j.1095-8312.2003.00154.x","http://dx.doi.org/10.1046/j.1095-8312.2003.00154.x")</f>
        <v>http://dx.doi.org/10.1046/j.1095-8312.2003.00154.x</v>
      </c>
      <c r="BG742" t="s">
        <v>74</v>
      </c>
      <c r="BH742" t="s">
        <v>74</v>
      </c>
      <c r="BI742">
        <v>14</v>
      </c>
      <c r="BJ742" t="s">
        <v>10507</v>
      </c>
      <c r="BK742" t="s">
        <v>94</v>
      </c>
      <c r="BL742" t="s">
        <v>10507</v>
      </c>
      <c r="BM742" t="s">
        <v>10508</v>
      </c>
      <c r="BN742" t="s">
        <v>74</v>
      </c>
      <c r="BO742" t="s">
        <v>96</v>
      </c>
      <c r="BP742" t="s">
        <v>74</v>
      </c>
      <c r="BQ742" t="s">
        <v>74</v>
      </c>
      <c r="BR742" t="s">
        <v>97</v>
      </c>
      <c r="BS742" t="s">
        <v>10509</v>
      </c>
      <c r="BT742" t="str">
        <f>HYPERLINK("https%3A%2F%2Fwww.webofscience.com%2Fwos%2Fwoscc%2Ffull-record%2FWOS:000181784300009","View Full Record in Web of Science")</f>
        <v>View Full Record in Web of Science</v>
      </c>
    </row>
    <row r="743" spans="1:72" x14ac:dyDescent="0.15">
      <c r="A743" t="s">
        <v>72</v>
      </c>
      <c r="B743" t="s">
        <v>10510</v>
      </c>
      <c r="C743" t="s">
        <v>74</v>
      </c>
      <c r="D743" t="s">
        <v>74</v>
      </c>
      <c r="E743" t="s">
        <v>74</v>
      </c>
      <c r="F743" t="s">
        <v>10510</v>
      </c>
      <c r="G743" t="s">
        <v>74</v>
      </c>
      <c r="H743" t="s">
        <v>74</v>
      </c>
      <c r="I743" t="s">
        <v>10511</v>
      </c>
      <c r="J743" t="s">
        <v>1422</v>
      </c>
      <c r="K743" t="s">
        <v>74</v>
      </c>
      <c r="L743" t="s">
        <v>74</v>
      </c>
      <c r="M743" t="s">
        <v>77</v>
      </c>
      <c r="N743" t="s">
        <v>159</v>
      </c>
      <c r="O743" t="s">
        <v>10512</v>
      </c>
      <c r="P743" t="s">
        <v>10513</v>
      </c>
      <c r="Q743" t="s">
        <v>10514</v>
      </c>
      <c r="R743" t="s">
        <v>74</v>
      </c>
      <c r="S743" t="s">
        <v>10515</v>
      </c>
      <c r="T743" t="s">
        <v>74</v>
      </c>
      <c r="U743" t="s">
        <v>10516</v>
      </c>
      <c r="V743" t="s">
        <v>10517</v>
      </c>
      <c r="W743" t="s">
        <v>10518</v>
      </c>
      <c r="X743" t="s">
        <v>10519</v>
      </c>
      <c r="Y743" t="s">
        <v>10520</v>
      </c>
      <c r="Z743" t="s">
        <v>10521</v>
      </c>
      <c r="AA743" t="s">
        <v>10522</v>
      </c>
      <c r="AB743" t="s">
        <v>7860</v>
      </c>
      <c r="AC743" t="s">
        <v>74</v>
      </c>
      <c r="AD743" t="s">
        <v>74</v>
      </c>
      <c r="AE743" t="s">
        <v>74</v>
      </c>
      <c r="AF743" t="s">
        <v>74</v>
      </c>
      <c r="AG743">
        <v>82</v>
      </c>
      <c r="AH743">
        <v>125</v>
      </c>
      <c r="AI743">
        <v>132</v>
      </c>
      <c r="AJ743">
        <v>1</v>
      </c>
      <c r="AK743">
        <v>22</v>
      </c>
      <c r="AL743" t="s">
        <v>250</v>
      </c>
      <c r="AM743" t="s">
        <v>251</v>
      </c>
      <c r="AN743" t="s">
        <v>252</v>
      </c>
      <c r="AO743" t="s">
        <v>1429</v>
      </c>
      <c r="AP743" t="s">
        <v>1430</v>
      </c>
      <c r="AQ743" t="s">
        <v>74</v>
      </c>
      <c r="AR743" t="s">
        <v>1422</v>
      </c>
      <c r="AS743" t="s">
        <v>1431</v>
      </c>
      <c r="AT743" t="s">
        <v>10390</v>
      </c>
      <c r="AU743">
        <v>2003</v>
      </c>
      <c r="AV743">
        <v>32</v>
      </c>
      <c r="AW743">
        <v>1</v>
      </c>
      <c r="AX743" t="s">
        <v>74</v>
      </c>
      <c r="AY743" t="s">
        <v>74</v>
      </c>
      <c r="AZ743" t="s">
        <v>74</v>
      </c>
      <c r="BA743" t="s">
        <v>74</v>
      </c>
      <c r="BB743">
        <v>37</v>
      </c>
      <c r="BC743">
        <v>55</v>
      </c>
      <c r="BD743" t="s">
        <v>74</v>
      </c>
      <c r="BE743" t="s">
        <v>10523</v>
      </c>
      <c r="BF743" t="str">
        <f>HYPERLINK("http://dx.doi.org/10.1080/03009480310001858","http://dx.doi.org/10.1080/03009480310001858")</f>
        <v>http://dx.doi.org/10.1080/03009480310001858</v>
      </c>
      <c r="BG743" t="s">
        <v>74</v>
      </c>
      <c r="BH743" t="s">
        <v>74</v>
      </c>
      <c r="BI743">
        <v>19</v>
      </c>
      <c r="BJ743" t="s">
        <v>1433</v>
      </c>
      <c r="BK743" t="s">
        <v>177</v>
      </c>
      <c r="BL743" t="s">
        <v>1434</v>
      </c>
      <c r="BM743" t="s">
        <v>10524</v>
      </c>
      <c r="BN743" t="s">
        <v>74</v>
      </c>
      <c r="BO743" t="s">
        <v>74</v>
      </c>
      <c r="BP743" t="s">
        <v>74</v>
      </c>
      <c r="BQ743" t="s">
        <v>74</v>
      </c>
      <c r="BR743" t="s">
        <v>97</v>
      </c>
      <c r="BS743" t="s">
        <v>10525</v>
      </c>
      <c r="BT743" t="str">
        <f>HYPERLINK("https%3A%2F%2Fwww.webofscience.com%2Fwos%2Fwoscc%2Ffull-record%2FWOS:000182465700004","View Full Record in Web of Science")</f>
        <v>View Full Record in Web of Science</v>
      </c>
    </row>
    <row r="744" spans="1:72" x14ac:dyDescent="0.15">
      <c r="A744" t="s">
        <v>72</v>
      </c>
      <c r="B744" t="s">
        <v>10526</v>
      </c>
      <c r="C744" t="s">
        <v>74</v>
      </c>
      <c r="D744" t="s">
        <v>74</v>
      </c>
      <c r="E744" t="s">
        <v>74</v>
      </c>
      <c r="F744" t="s">
        <v>10526</v>
      </c>
      <c r="G744" t="s">
        <v>74</v>
      </c>
      <c r="H744" t="s">
        <v>74</v>
      </c>
      <c r="I744" t="s">
        <v>10527</v>
      </c>
      <c r="J744" t="s">
        <v>1422</v>
      </c>
      <c r="K744" t="s">
        <v>74</v>
      </c>
      <c r="L744" t="s">
        <v>74</v>
      </c>
      <c r="M744" t="s">
        <v>77</v>
      </c>
      <c r="N744" t="s">
        <v>159</v>
      </c>
      <c r="O744" t="s">
        <v>10512</v>
      </c>
      <c r="P744" t="s">
        <v>10513</v>
      </c>
      <c r="Q744" t="s">
        <v>10514</v>
      </c>
      <c r="R744" t="s">
        <v>74</v>
      </c>
      <c r="S744" t="s">
        <v>10515</v>
      </c>
      <c r="T744" t="s">
        <v>74</v>
      </c>
      <c r="U744" t="s">
        <v>10528</v>
      </c>
      <c r="V744" t="s">
        <v>10529</v>
      </c>
      <c r="W744" t="s">
        <v>10530</v>
      </c>
      <c r="X744" t="s">
        <v>4510</v>
      </c>
      <c r="Y744" t="s">
        <v>10531</v>
      </c>
      <c r="Z744" t="s">
        <v>10532</v>
      </c>
      <c r="AA744" t="s">
        <v>10533</v>
      </c>
      <c r="AB744" t="s">
        <v>10534</v>
      </c>
      <c r="AC744" t="s">
        <v>74</v>
      </c>
      <c r="AD744" t="s">
        <v>74</v>
      </c>
      <c r="AE744" t="s">
        <v>74</v>
      </c>
      <c r="AF744" t="s">
        <v>74</v>
      </c>
      <c r="AG744">
        <v>73</v>
      </c>
      <c r="AH744">
        <v>29</v>
      </c>
      <c r="AI744">
        <v>31</v>
      </c>
      <c r="AJ744">
        <v>0</v>
      </c>
      <c r="AK744">
        <v>12</v>
      </c>
      <c r="AL744" t="s">
        <v>250</v>
      </c>
      <c r="AM744" t="s">
        <v>251</v>
      </c>
      <c r="AN744" t="s">
        <v>252</v>
      </c>
      <c r="AO744" t="s">
        <v>1429</v>
      </c>
      <c r="AP744" t="s">
        <v>1430</v>
      </c>
      <c r="AQ744" t="s">
        <v>74</v>
      </c>
      <c r="AR744" t="s">
        <v>1422</v>
      </c>
      <c r="AS744" t="s">
        <v>1431</v>
      </c>
      <c r="AT744" t="s">
        <v>10390</v>
      </c>
      <c r="AU744">
        <v>2003</v>
      </c>
      <c r="AV744">
        <v>32</v>
      </c>
      <c r="AW744">
        <v>1</v>
      </c>
      <c r="AX744" t="s">
        <v>74</v>
      </c>
      <c r="AY744" t="s">
        <v>74</v>
      </c>
      <c r="AZ744" t="s">
        <v>74</v>
      </c>
      <c r="BA744" t="s">
        <v>74</v>
      </c>
      <c r="BB744">
        <v>178</v>
      </c>
      <c r="BC744">
        <v>190</v>
      </c>
      <c r="BD744" t="s">
        <v>74</v>
      </c>
      <c r="BE744" t="s">
        <v>10535</v>
      </c>
      <c r="BF744" t="str">
        <f>HYPERLINK("http://dx.doi.org/10.1080/03009480310001092","http://dx.doi.org/10.1080/03009480310001092")</f>
        <v>http://dx.doi.org/10.1080/03009480310001092</v>
      </c>
      <c r="BG744" t="s">
        <v>74</v>
      </c>
      <c r="BH744" t="s">
        <v>74</v>
      </c>
      <c r="BI744">
        <v>13</v>
      </c>
      <c r="BJ744" t="s">
        <v>1433</v>
      </c>
      <c r="BK744" t="s">
        <v>177</v>
      </c>
      <c r="BL744" t="s">
        <v>1434</v>
      </c>
      <c r="BM744" t="s">
        <v>10524</v>
      </c>
      <c r="BN744" t="s">
        <v>74</v>
      </c>
      <c r="BO744" t="s">
        <v>74</v>
      </c>
      <c r="BP744" t="s">
        <v>74</v>
      </c>
      <c r="BQ744" t="s">
        <v>74</v>
      </c>
      <c r="BR744" t="s">
        <v>97</v>
      </c>
      <c r="BS744" t="s">
        <v>10536</v>
      </c>
      <c r="BT744" t="str">
        <f>HYPERLINK("https%3A%2F%2Fwww.webofscience.com%2Fwos%2Fwoscc%2Ffull-record%2FWOS:000182465700012","View Full Record in Web of Science")</f>
        <v>View Full Record in Web of Science</v>
      </c>
    </row>
    <row r="745" spans="1:72" x14ac:dyDescent="0.15">
      <c r="A745" t="s">
        <v>72</v>
      </c>
      <c r="B745" t="s">
        <v>10537</v>
      </c>
      <c r="C745" t="s">
        <v>74</v>
      </c>
      <c r="D745" t="s">
        <v>74</v>
      </c>
      <c r="E745" t="s">
        <v>74</v>
      </c>
      <c r="F745" t="s">
        <v>10537</v>
      </c>
      <c r="G745" t="s">
        <v>74</v>
      </c>
      <c r="H745" t="s">
        <v>74</v>
      </c>
      <c r="I745" t="s">
        <v>10538</v>
      </c>
      <c r="J745" t="s">
        <v>3360</v>
      </c>
      <c r="K745" t="s">
        <v>74</v>
      </c>
      <c r="L745" t="s">
        <v>74</v>
      </c>
      <c r="M745" t="s">
        <v>77</v>
      </c>
      <c r="N745" t="s">
        <v>78</v>
      </c>
      <c r="O745" t="s">
        <v>74</v>
      </c>
      <c r="P745" t="s">
        <v>74</v>
      </c>
      <c r="Q745" t="s">
        <v>74</v>
      </c>
      <c r="R745" t="s">
        <v>74</v>
      </c>
      <c r="S745" t="s">
        <v>74</v>
      </c>
      <c r="T745" t="s">
        <v>10539</v>
      </c>
      <c r="U745" t="s">
        <v>74</v>
      </c>
      <c r="V745" t="s">
        <v>10540</v>
      </c>
      <c r="W745" t="s">
        <v>10541</v>
      </c>
      <c r="X745" t="s">
        <v>10542</v>
      </c>
      <c r="Y745" t="s">
        <v>10543</v>
      </c>
      <c r="Z745" t="s">
        <v>74</v>
      </c>
      <c r="AA745" t="s">
        <v>74</v>
      </c>
      <c r="AB745" t="s">
        <v>74</v>
      </c>
      <c r="AC745" t="s">
        <v>74</v>
      </c>
      <c r="AD745" t="s">
        <v>74</v>
      </c>
      <c r="AE745" t="s">
        <v>74</v>
      </c>
      <c r="AF745" t="s">
        <v>74</v>
      </c>
      <c r="AG745">
        <v>18</v>
      </c>
      <c r="AH745">
        <v>82</v>
      </c>
      <c r="AI745">
        <v>94</v>
      </c>
      <c r="AJ745">
        <v>1</v>
      </c>
      <c r="AK745">
        <v>26</v>
      </c>
      <c r="AL745" t="s">
        <v>4820</v>
      </c>
      <c r="AM745" t="s">
        <v>3370</v>
      </c>
      <c r="AN745" t="s">
        <v>3371</v>
      </c>
      <c r="AO745" t="s">
        <v>3372</v>
      </c>
      <c r="AP745" t="s">
        <v>74</v>
      </c>
      <c r="AQ745" t="s">
        <v>74</v>
      </c>
      <c r="AR745" t="s">
        <v>3374</v>
      </c>
      <c r="AS745" t="s">
        <v>3375</v>
      </c>
      <c r="AT745" t="s">
        <v>10390</v>
      </c>
      <c r="AU745">
        <v>2003</v>
      </c>
      <c r="AV745">
        <v>48</v>
      </c>
      <c r="AW745">
        <v>5</v>
      </c>
      <c r="AX745" t="s">
        <v>74</v>
      </c>
      <c r="AY745" t="s">
        <v>74</v>
      </c>
      <c r="AZ745" t="s">
        <v>74</v>
      </c>
      <c r="BA745" t="s">
        <v>74</v>
      </c>
      <c r="BB745">
        <v>492</v>
      </c>
      <c r="BC745">
        <v>497</v>
      </c>
      <c r="BD745" t="s">
        <v>74</v>
      </c>
      <c r="BE745" t="s">
        <v>10544</v>
      </c>
      <c r="BF745" t="str">
        <f>HYPERLINK("http://dx.doi.org/10.1360/03tb9104","http://dx.doi.org/10.1360/03tb9104")</f>
        <v>http://dx.doi.org/10.1360/03tb9104</v>
      </c>
      <c r="BG745" t="s">
        <v>74</v>
      </c>
      <c r="BH745" t="s">
        <v>74</v>
      </c>
      <c r="BI745">
        <v>6</v>
      </c>
      <c r="BJ745" t="s">
        <v>971</v>
      </c>
      <c r="BK745" t="s">
        <v>94</v>
      </c>
      <c r="BL745" t="s">
        <v>972</v>
      </c>
      <c r="BM745" t="s">
        <v>10545</v>
      </c>
      <c r="BN745" t="s">
        <v>74</v>
      </c>
      <c r="BO745" t="s">
        <v>74</v>
      </c>
      <c r="BP745" t="s">
        <v>74</v>
      </c>
      <c r="BQ745" t="s">
        <v>74</v>
      </c>
      <c r="BR745" t="s">
        <v>97</v>
      </c>
      <c r="BS745" t="s">
        <v>10546</v>
      </c>
      <c r="BT745" t="str">
        <f>HYPERLINK("https%3A%2F%2Fwww.webofscience.com%2Fwos%2Fwoscc%2Ffull-record%2FWOS:000181790200019","View Full Record in Web of Science")</f>
        <v>View Full Record in Web of Science</v>
      </c>
    </row>
    <row r="746" spans="1:72" x14ac:dyDescent="0.15">
      <c r="A746" t="s">
        <v>72</v>
      </c>
      <c r="B746" t="s">
        <v>10547</v>
      </c>
      <c r="C746" t="s">
        <v>74</v>
      </c>
      <c r="D746" t="s">
        <v>74</v>
      </c>
      <c r="E746" t="s">
        <v>74</v>
      </c>
      <c r="F746" t="s">
        <v>10547</v>
      </c>
      <c r="G746" t="s">
        <v>74</v>
      </c>
      <c r="H746" t="s">
        <v>74</v>
      </c>
      <c r="I746" t="s">
        <v>10548</v>
      </c>
      <c r="J746" t="s">
        <v>1474</v>
      </c>
      <c r="K746" t="s">
        <v>74</v>
      </c>
      <c r="L746" t="s">
        <v>74</v>
      </c>
      <c r="M746" t="s">
        <v>77</v>
      </c>
      <c r="N746" t="s">
        <v>78</v>
      </c>
      <c r="O746" t="s">
        <v>74</v>
      </c>
      <c r="P746" t="s">
        <v>74</v>
      </c>
      <c r="Q746" t="s">
        <v>74</v>
      </c>
      <c r="R746" t="s">
        <v>74</v>
      </c>
      <c r="S746" t="s">
        <v>74</v>
      </c>
      <c r="T746" t="s">
        <v>74</v>
      </c>
      <c r="U746" t="s">
        <v>10549</v>
      </c>
      <c r="V746" t="s">
        <v>10550</v>
      </c>
      <c r="W746" t="s">
        <v>10551</v>
      </c>
      <c r="X746" t="s">
        <v>10552</v>
      </c>
      <c r="Y746" t="s">
        <v>74</v>
      </c>
      <c r="Z746" t="s">
        <v>10553</v>
      </c>
      <c r="AA746" t="s">
        <v>74</v>
      </c>
      <c r="AB746" t="s">
        <v>74</v>
      </c>
      <c r="AC746" t="s">
        <v>74</v>
      </c>
      <c r="AD746" t="s">
        <v>74</v>
      </c>
      <c r="AE746" t="s">
        <v>74</v>
      </c>
      <c r="AF746" t="s">
        <v>74</v>
      </c>
      <c r="AG746">
        <v>75</v>
      </c>
      <c r="AH746">
        <v>73</v>
      </c>
      <c r="AI746">
        <v>75</v>
      </c>
      <c r="AJ746">
        <v>1</v>
      </c>
      <c r="AK746">
        <v>21</v>
      </c>
      <c r="AL746" t="s">
        <v>207</v>
      </c>
      <c r="AM746" t="s">
        <v>229</v>
      </c>
      <c r="AN746" t="s">
        <v>323</v>
      </c>
      <c r="AO746" t="s">
        <v>1483</v>
      </c>
      <c r="AP746" t="s">
        <v>1484</v>
      </c>
      <c r="AQ746" t="s">
        <v>74</v>
      </c>
      <c r="AR746" t="s">
        <v>1485</v>
      </c>
      <c r="AS746" t="s">
        <v>1486</v>
      </c>
      <c r="AT746" t="s">
        <v>10390</v>
      </c>
      <c r="AU746">
        <v>2003</v>
      </c>
      <c r="AV746">
        <v>20</v>
      </c>
      <c r="AW746">
        <v>5</v>
      </c>
      <c r="AX746" t="s">
        <v>74</v>
      </c>
      <c r="AY746" t="s">
        <v>74</v>
      </c>
      <c r="AZ746" t="s">
        <v>74</v>
      </c>
      <c r="BA746" t="s">
        <v>74</v>
      </c>
      <c r="BB746">
        <v>447</v>
      </c>
      <c r="BC746">
        <v>464</v>
      </c>
      <c r="BD746" t="s">
        <v>74</v>
      </c>
      <c r="BE746" t="s">
        <v>10554</v>
      </c>
      <c r="BF746" t="str">
        <f>HYPERLINK("http://dx.doi.org/10.1007/s00382-002-0289-x","http://dx.doi.org/10.1007/s00382-002-0289-x")</f>
        <v>http://dx.doi.org/10.1007/s00382-002-0289-x</v>
      </c>
      <c r="BG746" t="s">
        <v>74</v>
      </c>
      <c r="BH746" t="s">
        <v>74</v>
      </c>
      <c r="BI746">
        <v>18</v>
      </c>
      <c r="BJ746" t="s">
        <v>93</v>
      </c>
      <c r="BK746" t="s">
        <v>94</v>
      </c>
      <c r="BL746" t="s">
        <v>93</v>
      </c>
      <c r="BM746" t="s">
        <v>10555</v>
      </c>
      <c r="BN746" t="s">
        <v>74</v>
      </c>
      <c r="BO746" t="s">
        <v>74</v>
      </c>
      <c r="BP746" t="s">
        <v>74</v>
      </c>
      <c r="BQ746" t="s">
        <v>74</v>
      </c>
      <c r="BR746" t="s">
        <v>97</v>
      </c>
      <c r="BS746" t="s">
        <v>10556</v>
      </c>
      <c r="BT746" t="str">
        <f>HYPERLINK("https%3A%2F%2Fwww.webofscience.com%2Fwos%2Fwoscc%2Ffull-record%2FWOS:000182482600002","View Full Record in Web of Science")</f>
        <v>View Full Record in Web of Science</v>
      </c>
    </row>
    <row r="747" spans="1:72" x14ac:dyDescent="0.15">
      <c r="A747" t="s">
        <v>72</v>
      </c>
      <c r="B747" t="s">
        <v>10557</v>
      </c>
      <c r="C747" t="s">
        <v>74</v>
      </c>
      <c r="D747" t="s">
        <v>74</v>
      </c>
      <c r="E747" t="s">
        <v>74</v>
      </c>
      <c r="F747" t="s">
        <v>10557</v>
      </c>
      <c r="G747" t="s">
        <v>74</v>
      </c>
      <c r="H747" t="s">
        <v>74</v>
      </c>
      <c r="I747" t="s">
        <v>10558</v>
      </c>
      <c r="J747" t="s">
        <v>1492</v>
      </c>
      <c r="K747" t="s">
        <v>74</v>
      </c>
      <c r="L747" t="s">
        <v>74</v>
      </c>
      <c r="M747" t="s">
        <v>77</v>
      </c>
      <c r="N747" t="s">
        <v>78</v>
      </c>
      <c r="O747" t="s">
        <v>74</v>
      </c>
      <c r="P747" t="s">
        <v>74</v>
      </c>
      <c r="Q747" t="s">
        <v>74</v>
      </c>
      <c r="R747" t="s">
        <v>74</v>
      </c>
      <c r="S747" t="s">
        <v>74</v>
      </c>
      <c r="T747" t="s">
        <v>10559</v>
      </c>
      <c r="U747" t="s">
        <v>10560</v>
      </c>
      <c r="V747" t="s">
        <v>10561</v>
      </c>
      <c r="W747" t="s">
        <v>10562</v>
      </c>
      <c r="X747" t="s">
        <v>10563</v>
      </c>
      <c r="Y747" t="s">
        <v>10564</v>
      </c>
      <c r="Z747" t="s">
        <v>10565</v>
      </c>
      <c r="AA747" t="s">
        <v>74</v>
      </c>
      <c r="AB747" t="s">
        <v>74</v>
      </c>
      <c r="AC747" t="s">
        <v>74</v>
      </c>
      <c r="AD747" t="s">
        <v>74</v>
      </c>
      <c r="AE747" t="s">
        <v>74</v>
      </c>
      <c r="AF747" t="s">
        <v>74</v>
      </c>
      <c r="AG747">
        <v>68</v>
      </c>
      <c r="AH747">
        <v>24</v>
      </c>
      <c r="AI747">
        <v>30</v>
      </c>
      <c r="AJ747">
        <v>1</v>
      </c>
      <c r="AK747">
        <v>5</v>
      </c>
      <c r="AL747" t="s">
        <v>781</v>
      </c>
      <c r="AM747" t="s">
        <v>111</v>
      </c>
      <c r="AN747" t="s">
        <v>782</v>
      </c>
      <c r="AO747" t="s">
        <v>1504</v>
      </c>
      <c r="AP747" t="s">
        <v>1505</v>
      </c>
      <c r="AQ747" t="s">
        <v>74</v>
      </c>
      <c r="AR747" t="s">
        <v>1506</v>
      </c>
      <c r="AS747" t="s">
        <v>1507</v>
      </c>
      <c r="AT747" t="s">
        <v>10390</v>
      </c>
      <c r="AU747">
        <v>2003</v>
      </c>
      <c r="AV747">
        <v>36</v>
      </c>
      <c r="AW747" t="s">
        <v>1894</v>
      </c>
      <c r="AX747" t="s">
        <v>74</v>
      </c>
      <c r="AY747" t="s">
        <v>74</v>
      </c>
      <c r="AZ747" t="s">
        <v>74</v>
      </c>
      <c r="BA747" t="s">
        <v>74</v>
      </c>
      <c r="BB747">
        <v>141</v>
      </c>
      <c r="BC747">
        <v>163</v>
      </c>
      <c r="BD747" t="s">
        <v>74</v>
      </c>
      <c r="BE747" t="s">
        <v>10566</v>
      </c>
      <c r="BF747" t="str">
        <f>HYPERLINK("http://dx.doi.org/10.1016/S0165-232X(03)00008-9","http://dx.doi.org/10.1016/S0165-232X(03)00008-9")</f>
        <v>http://dx.doi.org/10.1016/S0165-232X(03)00008-9</v>
      </c>
      <c r="BG747" t="s">
        <v>74</v>
      </c>
      <c r="BH747" t="s">
        <v>74</v>
      </c>
      <c r="BI747">
        <v>23</v>
      </c>
      <c r="BJ747" t="s">
        <v>1509</v>
      </c>
      <c r="BK747" t="s">
        <v>94</v>
      </c>
      <c r="BL747" t="s">
        <v>1510</v>
      </c>
      <c r="BM747" t="s">
        <v>10567</v>
      </c>
      <c r="BN747" t="s">
        <v>74</v>
      </c>
      <c r="BO747" t="s">
        <v>74</v>
      </c>
      <c r="BP747" t="s">
        <v>74</v>
      </c>
      <c r="BQ747" t="s">
        <v>74</v>
      </c>
      <c r="BR747" t="s">
        <v>97</v>
      </c>
      <c r="BS747" t="s">
        <v>10568</v>
      </c>
      <c r="BT747" t="str">
        <f>HYPERLINK("https%3A%2F%2Fwww.webofscience.com%2Fwos%2Fwoscc%2Ffull-record%2FWOS:000182002400012","View Full Record in Web of Science")</f>
        <v>View Full Record in Web of Science</v>
      </c>
    </row>
    <row r="748" spans="1:72" x14ac:dyDescent="0.15">
      <c r="A748" t="s">
        <v>72</v>
      </c>
      <c r="B748" t="s">
        <v>10569</v>
      </c>
      <c r="C748" t="s">
        <v>74</v>
      </c>
      <c r="D748" t="s">
        <v>74</v>
      </c>
      <c r="E748" t="s">
        <v>74</v>
      </c>
      <c r="F748" t="s">
        <v>10569</v>
      </c>
      <c r="G748" t="s">
        <v>74</v>
      </c>
      <c r="H748" t="s">
        <v>74</v>
      </c>
      <c r="I748" t="s">
        <v>10570</v>
      </c>
      <c r="J748" t="s">
        <v>10571</v>
      </c>
      <c r="K748" t="s">
        <v>74</v>
      </c>
      <c r="L748" t="s">
        <v>74</v>
      </c>
      <c r="M748" t="s">
        <v>77</v>
      </c>
      <c r="N748" t="s">
        <v>78</v>
      </c>
      <c r="O748" t="s">
        <v>74</v>
      </c>
      <c r="P748" t="s">
        <v>74</v>
      </c>
      <c r="Q748" t="s">
        <v>74</v>
      </c>
      <c r="R748" t="s">
        <v>74</v>
      </c>
      <c r="S748" t="s">
        <v>74</v>
      </c>
      <c r="T748" t="s">
        <v>10572</v>
      </c>
      <c r="U748" t="s">
        <v>10573</v>
      </c>
      <c r="V748" t="s">
        <v>10574</v>
      </c>
      <c r="W748" t="s">
        <v>10575</v>
      </c>
      <c r="X748" t="s">
        <v>10576</v>
      </c>
      <c r="Y748" t="s">
        <v>10577</v>
      </c>
      <c r="Z748" t="s">
        <v>10578</v>
      </c>
      <c r="AA748" t="s">
        <v>74</v>
      </c>
      <c r="AB748" t="s">
        <v>10579</v>
      </c>
      <c r="AC748" t="s">
        <v>74</v>
      </c>
      <c r="AD748" t="s">
        <v>74</v>
      </c>
      <c r="AE748" t="s">
        <v>74</v>
      </c>
      <c r="AF748" t="s">
        <v>74</v>
      </c>
      <c r="AG748">
        <v>28</v>
      </c>
      <c r="AH748">
        <v>39</v>
      </c>
      <c r="AI748">
        <v>41</v>
      </c>
      <c r="AJ748">
        <v>0</v>
      </c>
      <c r="AK748">
        <v>10</v>
      </c>
      <c r="AL748" t="s">
        <v>566</v>
      </c>
      <c r="AM748" t="s">
        <v>170</v>
      </c>
      <c r="AN748" t="s">
        <v>567</v>
      </c>
      <c r="AO748" t="s">
        <v>10580</v>
      </c>
      <c r="AP748" t="s">
        <v>10581</v>
      </c>
      <c r="AQ748" t="s">
        <v>74</v>
      </c>
      <c r="AR748" t="s">
        <v>10582</v>
      </c>
      <c r="AS748" t="s">
        <v>10583</v>
      </c>
      <c r="AT748" t="s">
        <v>10390</v>
      </c>
      <c r="AU748">
        <v>2003</v>
      </c>
      <c r="AV748">
        <v>26</v>
      </c>
      <c r="AW748">
        <v>2</v>
      </c>
      <c r="AX748" t="s">
        <v>74</v>
      </c>
      <c r="AY748" t="s">
        <v>74</v>
      </c>
      <c r="AZ748" t="s">
        <v>74</v>
      </c>
      <c r="BA748" t="s">
        <v>74</v>
      </c>
      <c r="BB748">
        <v>125</v>
      </c>
      <c r="BC748">
        <v>136</v>
      </c>
      <c r="BD748" t="s">
        <v>10584</v>
      </c>
      <c r="BE748" t="s">
        <v>10585</v>
      </c>
      <c r="BF748" t="str">
        <f>HYPERLINK("http://dx.doi.org/10.1016/S0147-9571(02)00036-X","http://dx.doi.org/10.1016/S0147-9571(02)00036-X")</f>
        <v>http://dx.doi.org/10.1016/S0147-9571(02)00036-X</v>
      </c>
      <c r="BG748" t="s">
        <v>74</v>
      </c>
      <c r="BH748" t="s">
        <v>74</v>
      </c>
      <c r="BI748">
        <v>12</v>
      </c>
      <c r="BJ748" t="s">
        <v>10586</v>
      </c>
      <c r="BK748" t="s">
        <v>94</v>
      </c>
      <c r="BL748" t="s">
        <v>10586</v>
      </c>
      <c r="BM748" t="s">
        <v>10587</v>
      </c>
      <c r="BN748">
        <v>12493493</v>
      </c>
      <c r="BO748" t="s">
        <v>74</v>
      </c>
      <c r="BP748" t="s">
        <v>74</v>
      </c>
      <c r="BQ748" t="s">
        <v>74</v>
      </c>
      <c r="BR748" t="s">
        <v>97</v>
      </c>
      <c r="BS748" t="s">
        <v>10588</v>
      </c>
      <c r="BT748" t="str">
        <f>HYPERLINK("https%3A%2F%2Fwww.webofscience.com%2Fwos%2Fwoscc%2Ffull-record%2FWOS:000181008400005","View Full Record in Web of Science")</f>
        <v>View Full Record in Web of Science</v>
      </c>
    </row>
    <row r="749" spans="1:72" x14ac:dyDescent="0.15">
      <c r="A749" t="s">
        <v>72</v>
      </c>
      <c r="B749" t="s">
        <v>10589</v>
      </c>
      <c r="C749" t="s">
        <v>74</v>
      </c>
      <c r="D749" t="s">
        <v>74</v>
      </c>
      <c r="E749" t="s">
        <v>74</v>
      </c>
      <c r="F749" t="s">
        <v>10589</v>
      </c>
      <c r="G749" t="s">
        <v>74</v>
      </c>
      <c r="H749" t="s">
        <v>74</v>
      </c>
      <c r="I749" t="s">
        <v>10590</v>
      </c>
      <c r="J749" t="s">
        <v>10591</v>
      </c>
      <c r="K749" t="s">
        <v>74</v>
      </c>
      <c r="L749" t="s">
        <v>74</v>
      </c>
      <c r="M749" t="s">
        <v>77</v>
      </c>
      <c r="N749" t="s">
        <v>78</v>
      </c>
      <c r="O749" t="s">
        <v>74</v>
      </c>
      <c r="P749" t="s">
        <v>74</v>
      </c>
      <c r="Q749" t="s">
        <v>74</v>
      </c>
      <c r="R749" t="s">
        <v>74</v>
      </c>
      <c r="S749" t="s">
        <v>74</v>
      </c>
      <c r="T749" t="s">
        <v>10592</v>
      </c>
      <c r="U749" t="s">
        <v>10593</v>
      </c>
      <c r="V749" t="s">
        <v>10594</v>
      </c>
      <c r="W749" t="s">
        <v>10595</v>
      </c>
      <c r="X749" t="s">
        <v>10596</v>
      </c>
      <c r="Y749" t="s">
        <v>10597</v>
      </c>
      <c r="Z749" t="s">
        <v>74</v>
      </c>
      <c r="AA749" t="s">
        <v>74</v>
      </c>
      <c r="AB749" t="s">
        <v>74</v>
      </c>
      <c r="AC749" t="s">
        <v>10598</v>
      </c>
      <c r="AD749" t="s">
        <v>10599</v>
      </c>
      <c r="AE749" t="s">
        <v>74</v>
      </c>
      <c r="AF749" t="s">
        <v>74</v>
      </c>
      <c r="AG749">
        <v>30</v>
      </c>
      <c r="AH749">
        <v>91</v>
      </c>
      <c r="AI749">
        <v>116</v>
      </c>
      <c r="AJ749">
        <v>0</v>
      </c>
      <c r="AK749">
        <v>8</v>
      </c>
      <c r="AL749" t="s">
        <v>2268</v>
      </c>
      <c r="AM749" t="s">
        <v>229</v>
      </c>
      <c r="AN749" t="s">
        <v>2269</v>
      </c>
      <c r="AO749" t="s">
        <v>10600</v>
      </c>
      <c r="AP749" t="s">
        <v>74</v>
      </c>
      <c r="AQ749" t="s">
        <v>74</v>
      </c>
      <c r="AR749" t="s">
        <v>10601</v>
      </c>
      <c r="AS749" t="s">
        <v>10602</v>
      </c>
      <c r="AT749" t="s">
        <v>10390</v>
      </c>
      <c r="AU749">
        <v>2003</v>
      </c>
      <c r="AV749">
        <v>226</v>
      </c>
      <c r="AW749">
        <v>3</v>
      </c>
      <c r="AX749" t="s">
        <v>74</v>
      </c>
      <c r="AY749" t="s">
        <v>74</v>
      </c>
      <c r="AZ749" t="s">
        <v>74</v>
      </c>
      <c r="BA749" t="s">
        <v>74</v>
      </c>
      <c r="BB749">
        <v>540</v>
      </c>
      <c r="BC749">
        <v>550</v>
      </c>
      <c r="BD749" t="s">
        <v>74</v>
      </c>
      <c r="BE749" t="s">
        <v>10603</v>
      </c>
      <c r="BF749" t="str">
        <f>HYPERLINK("http://dx.doi.org/10.1002/dvdy.10264","http://dx.doi.org/10.1002/dvdy.10264")</f>
        <v>http://dx.doi.org/10.1002/dvdy.10264</v>
      </c>
      <c r="BG749" t="s">
        <v>74</v>
      </c>
      <c r="BH749" t="s">
        <v>74</v>
      </c>
      <c r="BI749">
        <v>11</v>
      </c>
      <c r="BJ749" t="s">
        <v>10604</v>
      </c>
      <c r="BK749" t="s">
        <v>94</v>
      </c>
      <c r="BL749" t="s">
        <v>10604</v>
      </c>
      <c r="BM749" t="s">
        <v>10605</v>
      </c>
      <c r="BN749">
        <v>12619138</v>
      </c>
      <c r="BO749" t="s">
        <v>96</v>
      </c>
      <c r="BP749" t="s">
        <v>74</v>
      </c>
      <c r="BQ749" t="s">
        <v>74</v>
      </c>
      <c r="BR749" t="s">
        <v>97</v>
      </c>
      <c r="BS749" t="s">
        <v>10606</v>
      </c>
      <c r="BT749" t="str">
        <f>HYPERLINK("https%3A%2F%2Fwww.webofscience.com%2Fwos%2Fwoscc%2Ffull-record%2FWOS:000181326000010","View Full Record in Web of Science")</f>
        <v>View Full Record in Web of Science</v>
      </c>
    </row>
    <row r="750" spans="1:72" x14ac:dyDescent="0.15">
      <c r="A750" t="s">
        <v>72</v>
      </c>
      <c r="B750" t="s">
        <v>10607</v>
      </c>
      <c r="C750" t="s">
        <v>74</v>
      </c>
      <c r="D750" t="s">
        <v>74</v>
      </c>
      <c r="E750" t="s">
        <v>74</v>
      </c>
      <c r="F750" t="s">
        <v>10607</v>
      </c>
      <c r="G750" t="s">
        <v>74</v>
      </c>
      <c r="H750" t="s">
        <v>74</v>
      </c>
      <c r="I750" t="s">
        <v>10608</v>
      </c>
      <c r="J750" t="s">
        <v>10609</v>
      </c>
      <c r="K750" t="s">
        <v>74</v>
      </c>
      <c r="L750" t="s">
        <v>74</v>
      </c>
      <c r="M750" t="s">
        <v>77</v>
      </c>
      <c r="N750" t="s">
        <v>556</v>
      </c>
      <c r="O750" t="s">
        <v>74</v>
      </c>
      <c r="P750" t="s">
        <v>74</v>
      </c>
      <c r="Q750" t="s">
        <v>74</v>
      </c>
      <c r="R750" t="s">
        <v>74</v>
      </c>
      <c r="S750" t="s">
        <v>74</v>
      </c>
      <c r="T750" t="s">
        <v>10610</v>
      </c>
      <c r="U750" t="s">
        <v>10611</v>
      </c>
      <c r="V750" t="s">
        <v>10612</v>
      </c>
      <c r="W750" t="s">
        <v>10613</v>
      </c>
      <c r="X750" t="s">
        <v>706</v>
      </c>
      <c r="Y750" t="s">
        <v>10614</v>
      </c>
      <c r="Z750" t="s">
        <v>10615</v>
      </c>
      <c r="AA750" t="s">
        <v>74</v>
      </c>
      <c r="AB750" t="s">
        <v>74</v>
      </c>
      <c r="AC750" t="s">
        <v>74</v>
      </c>
      <c r="AD750" t="s">
        <v>74</v>
      </c>
      <c r="AE750" t="s">
        <v>74</v>
      </c>
      <c r="AF750" t="s">
        <v>74</v>
      </c>
      <c r="AG750">
        <v>127</v>
      </c>
      <c r="AH750">
        <v>82</v>
      </c>
      <c r="AI750">
        <v>89</v>
      </c>
      <c r="AJ750">
        <v>6</v>
      </c>
      <c r="AK750">
        <v>143</v>
      </c>
      <c r="AL750" t="s">
        <v>228</v>
      </c>
      <c r="AM750" t="s">
        <v>229</v>
      </c>
      <c r="AN750" t="s">
        <v>1170</v>
      </c>
      <c r="AO750" t="s">
        <v>10616</v>
      </c>
      <c r="AP750" t="s">
        <v>10617</v>
      </c>
      <c r="AQ750" t="s">
        <v>74</v>
      </c>
      <c r="AR750" t="s">
        <v>10618</v>
      </c>
      <c r="AS750" t="s">
        <v>10619</v>
      </c>
      <c r="AT750" t="s">
        <v>10390</v>
      </c>
      <c r="AU750">
        <v>2003</v>
      </c>
      <c r="AV750">
        <v>30</v>
      </c>
      <c r="AW750">
        <v>1</v>
      </c>
      <c r="AX750" t="s">
        <v>74</v>
      </c>
      <c r="AY750" t="s">
        <v>74</v>
      </c>
      <c r="AZ750" t="s">
        <v>74</v>
      </c>
      <c r="BA750" t="s">
        <v>74</v>
      </c>
      <c r="BB750">
        <v>1</v>
      </c>
      <c r="BC750">
        <v>25</v>
      </c>
      <c r="BD750" t="s">
        <v>74</v>
      </c>
      <c r="BE750" t="s">
        <v>10620</v>
      </c>
      <c r="BF750" t="str">
        <f>HYPERLINK("http://dx.doi.org/10.1017/S0376892903000018","http://dx.doi.org/10.1017/S0376892903000018")</f>
        <v>http://dx.doi.org/10.1017/S0376892903000018</v>
      </c>
      <c r="BG750" t="s">
        <v>74</v>
      </c>
      <c r="BH750" t="s">
        <v>74</v>
      </c>
      <c r="BI750">
        <v>25</v>
      </c>
      <c r="BJ750" t="s">
        <v>10621</v>
      </c>
      <c r="BK750" t="s">
        <v>94</v>
      </c>
      <c r="BL750" t="s">
        <v>330</v>
      </c>
      <c r="BM750" t="s">
        <v>10622</v>
      </c>
      <c r="BN750" t="s">
        <v>74</v>
      </c>
      <c r="BO750" t="s">
        <v>74</v>
      </c>
      <c r="BP750" t="s">
        <v>74</v>
      </c>
      <c r="BQ750" t="s">
        <v>74</v>
      </c>
      <c r="BR750" t="s">
        <v>97</v>
      </c>
      <c r="BS750" t="s">
        <v>10623</v>
      </c>
      <c r="BT750" t="str">
        <f>HYPERLINK("https%3A%2F%2Fwww.webofscience.com%2Fwos%2Fwoscc%2Ffull-record%2FWOS:000182791800001","View Full Record in Web of Science")</f>
        <v>View Full Record in Web of Science</v>
      </c>
    </row>
    <row r="751" spans="1:72" x14ac:dyDescent="0.15">
      <c r="A751" t="s">
        <v>72</v>
      </c>
      <c r="B751" t="s">
        <v>10624</v>
      </c>
      <c r="C751" t="s">
        <v>74</v>
      </c>
      <c r="D751" t="s">
        <v>74</v>
      </c>
      <c r="E751" t="s">
        <v>74</v>
      </c>
      <c r="F751" t="s">
        <v>10624</v>
      </c>
      <c r="G751" t="s">
        <v>74</v>
      </c>
      <c r="H751" t="s">
        <v>74</v>
      </c>
      <c r="I751" t="s">
        <v>10625</v>
      </c>
      <c r="J751" t="s">
        <v>4338</v>
      </c>
      <c r="K751" t="s">
        <v>74</v>
      </c>
      <c r="L751" t="s">
        <v>74</v>
      </c>
      <c r="M751" t="s">
        <v>77</v>
      </c>
      <c r="N751" t="s">
        <v>78</v>
      </c>
      <c r="O751" t="s">
        <v>74</v>
      </c>
      <c r="P751" t="s">
        <v>74</v>
      </c>
      <c r="Q751" t="s">
        <v>74</v>
      </c>
      <c r="R751" t="s">
        <v>74</v>
      </c>
      <c r="S751" t="s">
        <v>74</v>
      </c>
      <c r="T751" t="s">
        <v>74</v>
      </c>
      <c r="U751" t="s">
        <v>10626</v>
      </c>
      <c r="V751" t="s">
        <v>10627</v>
      </c>
      <c r="W751" t="s">
        <v>10628</v>
      </c>
      <c r="X751" t="s">
        <v>10629</v>
      </c>
      <c r="Y751" t="s">
        <v>10630</v>
      </c>
      <c r="Z751" t="s">
        <v>74</v>
      </c>
      <c r="AA751" t="s">
        <v>74</v>
      </c>
      <c r="AB751" t="s">
        <v>74</v>
      </c>
      <c r="AC751" t="s">
        <v>74</v>
      </c>
      <c r="AD751" t="s">
        <v>74</v>
      </c>
      <c r="AE751" t="s">
        <v>74</v>
      </c>
      <c r="AF751" t="s">
        <v>74</v>
      </c>
      <c r="AG751">
        <v>32</v>
      </c>
      <c r="AH751">
        <v>21</v>
      </c>
      <c r="AI751">
        <v>25</v>
      </c>
      <c r="AJ751">
        <v>1</v>
      </c>
      <c r="AK751">
        <v>18</v>
      </c>
      <c r="AL751" t="s">
        <v>4346</v>
      </c>
      <c r="AM751" t="s">
        <v>540</v>
      </c>
      <c r="AN751" t="s">
        <v>4347</v>
      </c>
      <c r="AO751" t="s">
        <v>4348</v>
      </c>
      <c r="AP751" t="s">
        <v>74</v>
      </c>
      <c r="AQ751" t="s">
        <v>74</v>
      </c>
      <c r="AR751" t="s">
        <v>4349</v>
      </c>
      <c r="AS751" t="s">
        <v>4350</v>
      </c>
      <c r="AT751" t="s">
        <v>10631</v>
      </c>
      <c r="AU751">
        <v>2003</v>
      </c>
      <c r="AV751">
        <v>37</v>
      </c>
      <c r="AW751">
        <v>5</v>
      </c>
      <c r="AX751" t="s">
        <v>74</v>
      </c>
      <c r="AY751" t="s">
        <v>74</v>
      </c>
      <c r="AZ751" t="s">
        <v>74</v>
      </c>
      <c r="BA751" t="s">
        <v>74</v>
      </c>
      <c r="BB751">
        <v>840</v>
      </c>
      <c r="BC751">
        <v>844</v>
      </c>
      <c r="BD751" t="s">
        <v>74</v>
      </c>
      <c r="BE751" t="s">
        <v>10632</v>
      </c>
      <c r="BF751" t="str">
        <f>HYPERLINK("http://dx.doi.org/10.1021/es025949v","http://dx.doi.org/10.1021/es025949v")</f>
        <v>http://dx.doi.org/10.1021/es025949v</v>
      </c>
      <c r="BG751" t="s">
        <v>74</v>
      </c>
      <c r="BH751" t="s">
        <v>74</v>
      </c>
      <c r="BI751">
        <v>5</v>
      </c>
      <c r="BJ751" t="s">
        <v>1122</v>
      </c>
      <c r="BK751" t="s">
        <v>94</v>
      </c>
      <c r="BL751" t="s">
        <v>1123</v>
      </c>
      <c r="BM751" t="s">
        <v>10633</v>
      </c>
      <c r="BN751">
        <v>12666910</v>
      </c>
      <c r="BO751" t="s">
        <v>74</v>
      </c>
      <c r="BP751" t="s">
        <v>74</v>
      </c>
      <c r="BQ751" t="s">
        <v>74</v>
      </c>
      <c r="BR751" t="s">
        <v>97</v>
      </c>
      <c r="BS751" t="s">
        <v>10634</v>
      </c>
      <c r="BT751" t="str">
        <f>HYPERLINK("https%3A%2F%2Fwww.webofscience.com%2Fwos%2Fwoscc%2Ffull-record%2FWOS:000181258600020","View Full Record in Web of Science")</f>
        <v>View Full Record in Web of Science</v>
      </c>
    </row>
    <row r="752" spans="1:72" x14ac:dyDescent="0.15">
      <c r="A752" t="s">
        <v>72</v>
      </c>
      <c r="B752" t="s">
        <v>10635</v>
      </c>
      <c r="C752" t="s">
        <v>74</v>
      </c>
      <c r="D752" t="s">
        <v>74</v>
      </c>
      <c r="E752" t="s">
        <v>74</v>
      </c>
      <c r="F752" t="s">
        <v>10635</v>
      </c>
      <c r="G752" t="s">
        <v>74</v>
      </c>
      <c r="H752" t="s">
        <v>74</v>
      </c>
      <c r="I752" t="s">
        <v>10636</v>
      </c>
      <c r="J752" t="s">
        <v>8041</v>
      </c>
      <c r="K752" t="s">
        <v>74</v>
      </c>
      <c r="L752" t="s">
        <v>74</v>
      </c>
      <c r="M752" t="s">
        <v>77</v>
      </c>
      <c r="N752" t="s">
        <v>78</v>
      </c>
      <c r="O752" t="s">
        <v>74</v>
      </c>
      <c r="P752" t="s">
        <v>74</v>
      </c>
      <c r="Q752" t="s">
        <v>74</v>
      </c>
      <c r="R752" t="s">
        <v>74</v>
      </c>
      <c r="S752" t="s">
        <v>74</v>
      </c>
      <c r="T752" t="s">
        <v>10637</v>
      </c>
      <c r="U752" t="s">
        <v>10638</v>
      </c>
      <c r="V752" t="s">
        <v>10639</v>
      </c>
      <c r="W752" t="s">
        <v>6234</v>
      </c>
      <c r="X752" t="s">
        <v>351</v>
      </c>
      <c r="Y752" t="s">
        <v>6319</v>
      </c>
      <c r="Z752" t="s">
        <v>74</v>
      </c>
      <c r="AA752" t="s">
        <v>10640</v>
      </c>
      <c r="AB752" t="s">
        <v>10641</v>
      </c>
      <c r="AC752" t="s">
        <v>74</v>
      </c>
      <c r="AD752" t="s">
        <v>74</v>
      </c>
      <c r="AE752" t="s">
        <v>74</v>
      </c>
      <c r="AF752" t="s">
        <v>74</v>
      </c>
      <c r="AG752">
        <v>66</v>
      </c>
      <c r="AH752">
        <v>70</v>
      </c>
      <c r="AI752">
        <v>72</v>
      </c>
      <c r="AJ752">
        <v>0</v>
      </c>
      <c r="AK752">
        <v>26</v>
      </c>
      <c r="AL752" t="s">
        <v>3611</v>
      </c>
      <c r="AM752" t="s">
        <v>964</v>
      </c>
      <c r="AN752" t="s">
        <v>3612</v>
      </c>
      <c r="AO752" t="s">
        <v>8050</v>
      </c>
      <c r="AP752" t="s">
        <v>74</v>
      </c>
      <c r="AQ752" t="s">
        <v>74</v>
      </c>
      <c r="AR752" t="s">
        <v>8051</v>
      </c>
      <c r="AS752" t="s">
        <v>8052</v>
      </c>
      <c r="AT752" t="s">
        <v>10390</v>
      </c>
      <c r="AU752">
        <v>2003</v>
      </c>
      <c r="AV752">
        <v>56</v>
      </c>
      <c r="AW752" t="s">
        <v>116</v>
      </c>
      <c r="AX752" t="s">
        <v>74</v>
      </c>
      <c r="AY752" t="s">
        <v>74</v>
      </c>
      <c r="AZ752" t="s">
        <v>74</v>
      </c>
      <c r="BA752" t="s">
        <v>74</v>
      </c>
      <c r="BB752">
        <v>717</v>
      </c>
      <c r="BC752">
        <v>734</v>
      </c>
      <c r="BD752" t="s">
        <v>74</v>
      </c>
      <c r="BE752" t="s">
        <v>10642</v>
      </c>
      <c r="BF752" t="str">
        <f>HYPERLINK("http://dx.doi.org/10.1016/S0272-7714(02)00291-3","http://dx.doi.org/10.1016/S0272-7714(02)00291-3")</f>
        <v>http://dx.doi.org/10.1016/S0272-7714(02)00291-3</v>
      </c>
      <c r="BG752" t="s">
        <v>74</v>
      </c>
      <c r="BH752" t="s">
        <v>74</v>
      </c>
      <c r="BI752">
        <v>18</v>
      </c>
      <c r="BJ752" t="s">
        <v>194</v>
      </c>
      <c r="BK752" t="s">
        <v>94</v>
      </c>
      <c r="BL752" t="s">
        <v>194</v>
      </c>
      <c r="BM752" t="s">
        <v>10643</v>
      </c>
      <c r="BN752" t="s">
        <v>74</v>
      </c>
      <c r="BO752" t="s">
        <v>74</v>
      </c>
      <c r="BP752" t="s">
        <v>74</v>
      </c>
      <c r="BQ752" t="s">
        <v>74</v>
      </c>
      <c r="BR752" t="s">
        <v>97</v>
      </c>
      <c r="BS752" t="s">
        <v>10644</v>
      </c>
      <c r="BT752" t="str">
        <f>HYPERLINK("https%3A%2F%2Fwww.webofscience.com%2Fwos%2Fwoscc%2Ffull-record%2FWOS:000183390400027","View Full Record in Web of Science")</f>
        <v>View Full Record in Web of Science</v>
      </c>
    </row>
    <row r="753" spans="1:72" x14ac:dyDescent="0.15">
      <c r="A753" t="s">
        <v>72</v>
      </c>
      <c r="B753" t="s">
        <v>10645</v>
      </c>
      <c r="C753" t="s">
        <v>74</v>
      </c>
      <c r="D753" t="s">
        <v>74</v>
      </c>
      <c r="E753" t="s">
        <v>74</v>
      </c>
      <c r="F753" t="s">
        <v>10645</v>
      </c>
      <c r="G753" t="s">
        <v>74</v>
      </c>
      <c r="H753" t="s">
        <v>74</v>
      </c>
      <c r="I753" t="s">
        <v>10646</v>
      </c>
      <c r="J753" t="s">
        <v>1738</v>
      </c>
      <c r="K753" t="s">
        <v>74</v>
      </c>
      <c r="L753" t="s">
        <v>74</v>
      </c>
      <c r="M753" t="s">
        <v>77</v>
      </c>
      <c r="N753" t="s">
        <v>78</v>
      </c>
      <c r="O753" t="s">
        <v>74</v>
      </c>
      <c r="P753" t="s">
        <v>74</v>
      </c>
      <c r="Q753" t="s">
        <v>74</v>
      </c>
      <c r="R753" t="s">
        <v>74</v>
      </c>
      <c r="S753" t="s">
        <v>74</v>
      </c>
      <c r="T753" t="s">
        <v>10647</v>
      </c>
      <c r="U753" t="s">
        <v>10648</v>
      </c>
      <c r="V753" t="s">
        <v>10649</v>
      </c>
      <c r="W753" t="s">
        <v>10650</v>
      </c>
      <c r="X753" t="s">
        <v>10651</v>
      </c>
      <c r="Y753" t="s">
        <v>10652</v>
      </c>
      <c r="Z753" t="s">
        <v>74</v>
      </c>
      <c r="AA753" t="s">
        <v>10653</v>
      </c>
      <c r="AB753" t="s">
        <v>10654</v>
      </c>
      <c r="AC753" t="s">
        <v>74</v>
      </c>
      <c r="AD753" t="s">
        <v>74</v>
      </c>
      <c r="AE753" t="s">
        <v>74</v>
      </c>
      <c r="AF753" t="s">
        <v>74</v>
      </c>
      <c r="AG753">
        <v>34</v>
      </c>
      <c r="AH753">
        <v>78</v>
      </c>
      <c r="AI753">
        <v>90</v>
      </c>
      <c r="AJ753">
        <v>1</v>
      </c>
      <c r="AK753">
        <v>13</v>
      </c>
      <c r="AL753" t="s">
        <v>1747</v>
      </c>
      <c r="AM753" t="s">
        <v>1748</v>
      </c>
      <c r="AN753" t="s">
        <v>1749</v>
      </c>
      <c r="AO753" t="s">
        <v>1750</v>
      </c>
      <c r="AP753" t="s">
        <v>1751</v>
      </c>
      <c r="AQ753" t="s">
        <v>74</v>
      </c>
      <c r="AR753" t="s">
        <v>1738</v>
      </c>
      <c r="AS753" t="s">
        <v>549</v>
      </c>
      <c r="AT753" t="s">
        <v>10390</v>
      </c>
      <c r="AU753">
        <v>2003</v>
      </c>
      <c r="AV753">
        <v>31</v>
      </c>
      <c r="AW753">
        <v>3</v>
      </c>
      <c r="AX753" t="s">
        <v>74</v>
      </c>
      <c r="AY753" t="s">
        <v>74</v>
      </c>
      <c r="AZ753" t="s">
        <v>74</v>
      </c>
      <c r="BA753" t="s">
        <v>74</v>
      </c>
      <c r="BB753">
        <v>199</v>
      </c>
      <c r="BC753">
        <v>202</v>
      </c>
      <c r="BD753" t="s">
        <v>74</v>
      </c>
      <c r="BE753" t="s">
        <v>10655</v>
      </c>
      <c r="BF753" t="str">
        <f>HYPERLINK("http://dx.doi.org/10.1130/0091-7613(2003)031&lt;0199:APAAFW&gt;2.0.CO;2","http://dx.doi.org/10.1130/0091-7613(2003)031&lt;0199:APAAFW&gt;2.0.CO;2")</f>
        <v>http://dx.doi.org/10.1130/0091-7613(2003)031&lt;0199:APAAFW&gt;2.0.CO;2</v>
      </c>
      <c r="BG753" t="s">
        <v>74</v>
      </c>
      <c r="BH753" t="s">
        <v>74</v>
      </c>
      <c r="BI753">
        <v>4</v>
      </c>
      <c r="BJ753" t="s">
        <v>549</v>
      </c>
      <c r="BK753" t="s">
        <v>94</v>
      </c>
      <c r="BL753" t="s">
        <v>549</v>
      </c>
      <c r="BM753" t="s">
        <v>10656</v>
      </c>
      <c r="BN753" t="s">
        <v>74</v>
      </c>
      <c r="BO753" t="s">
        <v>74</v>
      </c>
      <c r="BP753" t="s">
        <v>74</v>
      </c>
      <c r="BQ753" t="s">
        <v>74</v>
      </c>
      <c r="BR753" t="s">
        <v>97</v>
      </c>
      <c r="BS753" t="s">
        <v>10657</v>
      </c>
      <c r="BT753" t="str">
        <f>HYPERLINK("https%3A%2F%2Fwww.webofscience.com%2Fwos%2Fwoscc%2Ffull-record%2FWOS:000181199100002","View Full Record in Web of Science")</f>
        <v>View Full Record in Web of Science</v>
      </c>
    </row>
    <row r="754" spans="1:72" x14ac:dyDescent="0.15">
      <c r="A754" t="s">
        <v>72</v>
      </c>
      <c r="B754" t="s">
        <v>10658</v>
      </c>
      <c r="C754" t="s">
        <v>74</v>
      </c>
      <c r="D754" t="s">
        <v>74</v>
      </c>
      <c r="E754" t="s">
        <v>74</v>
      </c>
      <c r="F754" t="s">
        <v>10658</v>
      </c>
      <c r="G754" t="s">
        <v>74</v>
      </c>
      <c r="H754" t="s">
        <v>74</v>
      </c>
      <c r="I754" t="s">
        <v>10659</v>
      </c>
      <c r="J754" t="s">
        <v>1738</v>
      </c>
      <c r="K754" t="s">
        <v>74</v>
      </c>
      <c r="L754" t="s">
        <v>74</v>
      </c>
      <c r="M754" t="s">
        <v>77</v>
      </c>
      <c r="N754" t="s">
        <v>78</v>
      </c>
      <c r="O754" t="s">
        <v>74</v>
      </c>
      <c r="P754" t="s">
        <v>74</v>
      </c>
      <c r="Q754" t="s">
        <v>74</v>
      </c>
      <c r="R754" t="s">
        <v>74</v>
      </c>
      <c r="S754" t="s">
        <v>74</v>
      </c>
      <c r="T754" t="s">
        <v>10660</v>
      </c>
      <c r="U754" t="s">
        <v>10661</v>
      </c>
      <c r="V754" t="s">
        <v>10662</v>
      </c>
      <c r="W754" t="s">
        <v>10663</v>
      </c>
      <c r="X754" t="s">
        <v>10664</v>
      </c>
      <c r="Y754" t="s">
        <v>10665</v>
      </c>
      <c r="Z754" t="s">
        <v>74</v>
      </c>
      <c r="AA754" t="s">
        <v>10666</v>
      </c>
      <c r="AB754" t="s">
        <v>10667</v>
      </c>
      <c r="AC754" t="s">
        <v>74</v>
      </c>
      <c r="AD754" t="s">
        <v>74</v>
      </c>
      <c r="AE754" t="s">
        <v>74</v>
      </c>
      <c r="AF754" t="s">
        <v>74</v>
      </c>
      <c r="AG754">
        <v>30</v>
      </c>
      <c r="AH754">
        <v>74</v>
      </c>
      <c r="AI754">
        <v>78</v>
      </c>
      <c r="AJ754">
        <v>1</v>
      </c>
      <c r="AK754">
        <v>13</v>
      </c>
      <c r="AL754" t="s">
        <v>1747</v>
      </c>
      <c r="AM754" t="s">
        <v>1748</v>
      </c>
      <c r="AN754" t="s">
        <v>1749</v>
      </c>
      <c r="AO754" t="s">
        <v>1750</v>
      </c>
      <c r="AP754" t="s">
        <v>1751</v>
      </c>
      <c r="AQ754" t="s">
        <v>74</v>
      </c>
      <c r="AR754" t="s">
        <v>1738</v>
      </c>
      <c r="AS754" t="s">
        <v>549</v>
      </c>
      <c r="AT754" t="s">
        <v>10390</v>
      </c>
      <c r="AU754">
        <v>2003</v>
      </c>
      <c r="AV754">
        <v>31</v>
      </c>
      <c r="AW754">
        <v>3</v>
      </c>
      <c r="AX754" t="s">
        <v>74</v>
      </c>
      <c r="AY754" t="s">
        <v>74</v>
      </c>
      <c r="AZ754" t="s">
        <v>74</v>
      </c>
      <c r="BA754" t="s">
        <v>74</v>
      </c>
      <c r="BB754">
        <v>223</v>
      </c>
      <c r="BC754">
        <v>226</v>
      </c>
      <c r="BD754" t="s">
        <v>74</v>
      </c>
      <c r="BE754" t="s">
        <v>10668</v>
      </c>
      <c r="BF754" t="str">
        <f>HYPERLINK("http://dx.doi.org/10.1130/0091-7613(2003)031&lt;0223:ACCBNZ&gt;2.0.CO;2","http://dx.doi.org/10.1130/0091-7613(2003)031&lt;0223:ACCBNZ&gt;2.0.CO;2")</f>
        <v>http://dx.doi.org/10.1130/0091-7613(2003)031&lt;0223:ACCBNZ&gt;2.0.CO;2</v>
      </c>
      <c r="BG754" t="s">
        <v>74</v>
      </c>
      <c r="BH754" t="s">
        <v>74</v>
      </c>
      <c r="BI754">
        <v>4</v>
      </c>
      <c r="BJ754" t="s">
        <v>549</v>
      </c>
      <c r="BK754" t="s">
        <v>94</v>
      </c>
      <c r="BL754" t="s">
        <v>549</v>
      </c>
      <c r="BM754" t="s">
        <v>10656</v>
      </c>
      <c r="BN754" t="s">
        <v>74</v>
      </c>
      <c r="BO754" t="s">
        <v>74</v>
      </c>
      <c r="BP754" t="s">
        <v>74</v>
      </c>
      <c r="BQ754" t="s">
        <v>74</v>
      </c>
      <c r="BR754" t="s">
        <v>97</v>
      </c>
      <c r="BS754" t="s">
        <v>10669</v>
      </c>
      <c r="BT754" t="str">
        <f>HYPERLINK("https%3A%2F%2Fwww.webofscience.com%2Fwos%2Fwoscc%2Ffull-record%2FWOS:000181199100008","View Full Record in Web of Science")</f>
        <v>View Full Record in Web of Science</v>
      </c>
    </row>
    <row r="755" spans="1:72" x14ac:dyDescent="0.15">
      <c r="A755" t="s">
        <v>72</v>
      </c>
      <c r="B755" t="s">
        <v>10670</v>
      </c>
      <c r="C755" t="s">
        <v>74</v>
      </c>
      <c r="D755" t="s">
        <v>74</v>
      </c>
      <c r="E755" t="s">
        <v>74</v>
      </c>
      <c r="F755" t="s">
        <v>10670</v>
      </c>
      <c r="G755" t="s">
        <v>74</v>
      </c>
      <c r="H755" t="s">
        <v>74</v>
      </c>
      <c r="I755" t="s">
        <v>10671</v>
      </c>
      <c r="J755" t="s">
        <v>6496</v>
      </c>
      <c r="K755" t="s">
        <v>74</v>
      </c>
      <c r="L755" t="s">
        <v>74</v>
      </c>
      <c r="M755" t="s">
        <v>77</v>
      </c>
      <c r="N755" t="s">
        <v>78</v>
      </c>
      <c r="O755" t="s">
        <v>74</v>
      </c>
      <c r="P755" t="s">
        <v>74</v>
      </c>
      <c r="Q755" t="s">
        <v>74</v>
      </c>
      <c r="R755" t="s">
        <v>74</v>
      </c>
      <c r="S755" t="s">
        <v>74</v>
      </c>
      <c r="T755" t="s">
        <v>10672</v>
      </c>
      <c r="U755" t="s">
        <v>10673</v>
      </c>
      <c r="V755" t="s">
        <v>10674</v>
      </c>
      <c r="W755" t="s">
        <v>10675</v>
      </c>
      <c r="X755" t="s">
        <v>10676</v>
      </c>
      <c r="Y755" t="s">
        <v>10677</v>
      </c>
      <c r="Z755" t="s">
        <v>10678</v>
      </c>
      <c r="AA755" t="s">
        <v>74</v>
      </c>
      <c r="AB755" t="s">
        <v>74</v>
      </c>
      <c r="AC755" t="s">
        <v>74</v>
      </c>
      <c r="AD755" t="s">
        <v>74</v>
      </c>
      <c r="AE755" t="s">
        <v>74</v>
      </c>
      <c r="AF755" t="s">
        <v>74</v>
      </c>
      <c r="AG755">
        <v>28</v>
      </c>
      <c r="AH755">
        <v>2</v>
      </c>
      <c r="AI755">
        <v>2</v>
      </c>
      <c r="AJ755">
        <v>0</v>
      </c>
      <c r="AK755">
        <v>7</v>
      </c>
      <c r="AL755" t="s">
        <v>10679</v>
      </c>
      <c r="AM755" t="s">
        <v>6506</v>
      </c>
      <c r="AN755" t="s">
        <v>10680</v>
      </c>
      <c r="AO755" t="s">
        <v>6508</v>
      </c>
      <c r="AP755" t="s">
        <v>10681</v>
      </c>
      <c r="AQ755" t="s">
        <v>74</v>
      </c>
      <c r="AR755" t="s">
        <v>6509</v>
      </c>
      <c r="AS755" t="s">
        <v>6510</v>
      </c>
      <c r="AT755" t="s">
        <v>10390</v>
      </c>
      <c r="AU755">
        <v>2003</v>
      </c>
      <c r="AV755">
        <v>7</v>
      </c>
      <c r="AW755">
        <v>1</v>
      </c>
      <c r="AX755" t="s">
        <v>74</v>
      </c>
      <c r="AY755" t="s">
        <v>74</v>
      </c>
      <c r="AZ755" t="s">
        <v>74</v>
      </c>
      <c r="BA755" t="s">
        <v>74</v>
      </c>
      <c r="BB755">
        <v>73</v>
      </c>
      <c r="BC755">
        <v>79</v>
      </c>
      <c r="BD755" t="s">
        <v>74</v>
      </c>
      <c r="BE755" t="s">
        <v>10682</v>
      </c>
      <c r="BF755" t="str">
        <f>HYPERLINK("http://dx.doi.org/10.1007/BF02910267","http://dx.doi.org/10.1007/BF02910267")</f>
        <v>http://dx.doi.org/10.1007/BF02910267</v>
      </c>
      <c r="BG755" t="s">
        <v>74</v>
      </c>
      <c r="BH755" t="s">
        <v>74</v>
      </c>
      <c r="BI755">
        <v>7</v>
      </c>
      <c r="BJ755" t="s">
        <v>548</v>
      </c>
      <c r="BK755" t="s">
        <v>94</v>
      </c>
      <c r="BL755" t="s">
        <v>549</v>
      </c>
      <c r="BM755" t="s">
        <v>10683</v>
      </c>
      <c r="BN755" t="s">
        <v>74</v>
      </c>
      <c r="BO755" t="s">
        <v>74</v>
      </c>
      <c r="BP755" t="s">
        <v>74</v>
      </c>
      <c r="BQ755" t="s">
        <v>74</v>
      </c>
      <c r="BR755" t="s">
        <v>97</v>
      </c>
      <c r="BS755" t="s">
        <v>10684</v>
      </c>
      <c r="BT755" t="str">
        <f>HYPERLINK("https%3A%2F%2Fwww.webofscience.com%2Fwos%2Fwoscc%2Ffull-record%2FWOS:000188433500009","View Full Record in Web of Science")</f>
        <v>View Full Record in Web of Science</v>
      </c>
    </row>
    <row r="756" spans="1:72" x14ac:dyDescent="0.15">
      <c r="A756" t="s">
        <v>72</v>
      </c>
      <c r="B756" t="s">
        <v>10685</v>
      </c>
      <c r="C756" t="s">
        <v>74</v>
      </c>
      <c r="D756" t="s">
        <v>74</v>
      </c>
      <c r="E756" t="s">
        <v>74</v>
      </c>
      <c r="F756" t="s">
        <v>10685</v>
      </c>
      <c r="G756" t="s">
        <v>74</v>
      </c>
      <c r="H756" t="s">
        <v>74</v>
      </c>
      <c r="I756" t="s">
        <v>10686</v>
      </c>
      <c r="J756" t="s">
        <v>10687</v>
      </c>
      <c r="K756" t="s">
        <v>74</v>
      </c>
      <c r="L756" t="s">
        <v>74</v>
      </c>
      <c r="M756" t="s">
        <v>77</v>
      </c>
      <c r="N756" t="s">
        <v>78</v>
      </c>
      <c r="O756" t="s">
        <v>74</v>
      </c>
      <c r="P756" t="s">
        <v>74</v>
      </c>
      <c r="Q756" t="s">
        <v>74</v>
      </c>
      <c r="R756" t="s">
        <v>74</v>
      </c>
      <c r="S756" t="s">
        <v>74</v>
      </c>
      <c r="T756" t="s">
        <v>10688</v>
      </c>
      <c r="U756" t="s">
        <v>10689</v>
      </c>
      <c r="V756" t="s">
        <v>10690</v>
      </c>
      <c r="W756" t="s">
        <v>10691</v>
      </c>
      <c r="X756" t="s">
        <v>10692</v>
      </c>
      <c r="Y756" t="s">
        <v>10693</v>
      </c>
      <c r="Z756" t="s">
        <v>10694</v>
      </c>
      <c r="AA756" t="s">
        <v>10695</v>
      </c>
      <c r="AB756" t="s">
        <v>10696</v>
      </c>
      <c r="AC756" t="s">
        <v>74</v>
      </c>
      <c r="AD756" t="s">
        <v>74</v>
      </c>
      <c r="AE756" t="s">
        <v>74</v>
      </c>
      <c r="AF756" t="s">
        <v>74</v>
      </c>
      <c r="AG756">
        <v>27</v>
      </c>
      <c r="AH756">
        <v>27</v>
      </c>
      <c r="AI756">
        <v>30</v>
      </c>
      <c r="AJ756">
        <v>0</v>
      </c>
      <c r="AK756">
        <v>11</v>
      </c>
      <c r="AL756" t="s">
        <v>110</v>
      </c>
      <c r="AM756" t="s">
        <v>111</v>
      </c>
      <c r="AN756" t="s">
        <v>112</v>
      </c>
      <c r="AO756" t="s">
        <v>10697</v>
      </c>
      <c r="AP756" t="s">
        <v>10698</v>
      </c>
      <c r="AQ756" t="s">
        <v>74</v>
      </c>
      <c r="AR756" t="s">
        <v>10687</v>
      </c>
      <c r="AS756" t="s">
        <v>10699</v>
      </c>
      <c r="AT756" t="s">
        <v>10390</v>
      </c>
      <c r="AU756">
        <v>2003</v>
      </c>
      <c r="AV756">
        <v>2</v>
      </c>
      <c r="AW756">
        <v>1</v>
      </c>
      <c r="AX756" t="s">
        <v>74</v>
      </c>
      <c r="AY756" t="s">
        <v>74</v>
      </c>
      <c r="AZ756" t="s">
        <v>74</v>
      </c>
      <c r="BA756" t="s">
        <v>74</v>
      </c>
      <c r="BB756">
        <v>61</v>
      </c>
      <c r="BC756">
        <v>74</v>
      </c>
      <c r="BD756" t="s">
        <v>10700</v>
      </c>
      <c r="BE756" t="s">
        <v>10701</v>
      </c>
      <c r="BF756" t="str">
        <f>HYPERLINK("http://dx.doi.org/10.1016/S1568-9883(02)00084-7","http://dx.doi.org/10.1016/S1568-9883(02)00084-7")</f>
        <v>http://dx.doi.org/10.1016/S1568-9883(02)00084-7</v>
      </c>
      <c r="BG756" t="s">
        <v>74</v>
      </c>
      <c r="BH756" t="s">
        <v>74</v>
      </c>
      <c r="BI756">
        <v>14</v>
      </c>
      <c r="BJ756" t="s">
        <v>235</v>
      </c>
      <c r="BK756" t="s">
        <v>94</v>
      </c>
      <c r="BL756" t="s">
        <v>235</v>
      </c>
      <c r="BM756" t="s">
        <v>10702</v>
      </c>
      <c r="BN756" t="s">
        <v>74</v>
      </c>
      <c r="BO756" t="s">
        <v>74</v>
      </c>
      <c r="BP756" t="s">
        <v>74</v>
      </c>
      <c r="BQ756" t="s">
        <v>74</v>
      </c>
      <c r="BR756" t="s">
        <v>97</v>
      </c>
      <c r="BS756" t="s">
        <v>10703</v>
      </c>
      <c r="BT756" t="str">
        <f>HYPERLINK("https%3A%2F%2Fwww.webofscience.com%2Fwos%2Fwoscc%2Ffull-record%2FWOS:000220864400006","View Full Record in Web of Science")</f>
        <v>View Full Record in Web of Science</v>
      </c>
    </row>
    <row r="757" spans="1:72" x14ac:dyDescent="0.15">
      <c r="A757" t="s">
        <v>72</v>
      </c>
      <c r="B757" t="s">
        <v>10704</v>
      </c>
      <c r="C757" t="s">
        <v>74</v>
      </c>
      <c r="D757" t="s">
        <v>74</v>
      </c>
      <c r="E757" t="s">
        <v>74</v>
      </c>
      <c r="F757" t="s">
        <v>10704</v>
      </c>
      <c r="G757" t="s">
        <v>74</v>
      </c>
      <c r="H757" t="s">
        <v>74</v>
      </c>
      <c r="I757" t="s">
        <v>10705</v>
      </c>
      <c r="J757" t="s">
        <v>10706</v>
      </c>
      <c r="K757" t="s">
        <v>74</v>
      </c>
      <c r="L757" t="s">
        <v>74</v>
      </c>
      <c r="M757" t="s">
        <v>77</v>
      </c>
      <c r="N757" t="s">
        <v>78</v>
      </c>
      <c r="O757" t="s">
        <v>74</v>
      </c>
      <c r="P757" t="s">
        <v>74</v>
      </c>
      <c r="Q757" t="s">
        <v>74</v>
      </c>
      <c r="R757" t="s">
        <v>74</v>
      </c>
      <c r="S757" t="s">
        <v>74</v>
      </c>
      <c r="T757" t="s">
        <v>10707</v>
      </c>
      <c r="U757" t="s">
        <v>10708</v>
      </c>
      <c r="V757" t="s">
        <v>10709</v>
      </c>
      <c r="W757" t="s">
        <v>74</v>
      </c>
      <c r="X757" t="s">
        <v>74</v>
      </c>
      <c r="Y757" t="s">
        <v>74</v>
      </c>
      <c r="Z757" t="s">
        <v>74</v>
      </c>
      <c r="AA757" t="s">
        <v>10710</v>
      </c>
      <c r="AB757" t="s">
        <v>10711</v>
      </c>
      <c r="AC757" t="s">
        <v>74</v>
      </c>
      <c r="AD757" t="s">
        <v>74</v>
      </c>
      <c r="AE757" t="s">
        <v>74</v>
      </c>
      <c r="AF757" t="s">
        <v>74</v>
      </c>
      <c r="AG757">
        <v>36</v>
      </c>
      <c r="AH757">
        <v>13</v>
      </c>
      <c r="AI757">
        <v>15</v>
      </c>
      <c r="AJ757">
        <v>0</v>
      </c>
      <c r="AK757">
        <v>6</v>
      </c>
      <c r="AL757" t="s">
        <v>342</v>
      </c>
      <c r="AM757" t="s">
        <v>229</v>
      </c>
      <c r="AN757" t="s">
        <v>343</v>
      </c>
      <c r="AO757" t="s">
        <v>10712</v>
      </c>
      <c r="AP757" t="s">
        <v>74</v>
      </c>
      <c r="AQ757" t="s">
        <v>74</v>
      </c>
      <c r="AR757" t="s">
        <v>10713</v>
      </c>
      <c r="AS757" t="s">
        <v>10714</v>
      </c>
      <c r="AT757" t="s">
        <v>10390</v>
      </c>
      <c r="AU757">
        <v>2003</v>
      </c>
      <c r="AV757">
        <v>57</v>
      </c>
      <c r="AW757">
        <v>1</v>
      </c>
      <c r="AX757" t="s">
        <v>74</v>
      </c>
      <c r="AY757" t="s">
        <v>74</v>
      </c>
      <c r="AZ757" t="s">
        <v>74</v>
      </c>
      <c r="BA757" t="s">
        <v>74</v>
      </c>
      <c r="BB757">
        <v>54</v>
      </c>
      <c r="BC757">
        <v>62</v>
      </c>
      <c r="BD757" t="s">
        <v>74</v>
      </c>
      <c r="BE757" t="s">
        <v>10715</v>
      </c>
      <c r="BF757" t="str">
        <f>HYPERLINK("http://dx.doi.org/10.1007/s10152-002-0132-0","http://dx.doi.org/10.1007/s10152-002-0132-0")</f>
        <v>http://dx.doi.org/10.1007/s10152-002-0132-0</v>
      </c>
      <c r="BG757" t="s">
        <v>74</v>
      </c>
      <c r="BH757" t="s">
        <v>74</v>
      </c>
      <c r="BI757">
        <v>9</v>
      </c>
      <c r="BJ757" t="s">
        <v>194</v>
      </c>
      <c r="BK757" t="s">
        <v>94</v>
      </c>
      <c r="BL757" t="s">
        <v>194</v>
      </c>
      <c r="BM757" t="s">
        <v>10716</v>
      </c>
      <c r="BN757" t="s">
        <v>74</v>
      </c>
      <c r="BO757" t="s">
        <v>141</v>
      </c>
      <c r="BP757" t="s">
        <v>74</v>
      </c>
      <c r="BQ757" t="s">
        <v>74</v>
      </c>
      <c r="BR757" t="s">
        <v>97</v>
      </c>
      <c r="BS757" t="s">
        <v>10717</v>
      </c>
      <c r="BT757" t="str">
        <f>HYPERLINK("https%3A%2F%2Fwww.webofscience.com%2Fwos%2Fwoscc%2Ffull-record%2FWOS:000182083900008","View Full Record in Web of Science")</f>
        <v>View Full Record in Web of Science</v>
      </c>
    </row>
    <row r="758" spans="1:72" x14ac:dyDescent="0.15">
      <c r="A758" t="s">
        <v>72</v>
      </c>
      <c r="B758" t="s">
        <v>10718</v>
      </c>
      <c r="C758" t="s">
        <v>74</v>
      </c>
      <c r="D758" t="s">
        <v>74</v>
      </c>
      <c r="E758" t="s">
        <v>74</v>
      </c>
      <c r="F758" t="s">
        <v>10718</v>
      </c>
      <c r="G758" t="s">
        <v>74</v>
      </c>
      <c r="H758" t="s">
        <v>74</v>
      </c>
      <c r="I758" t="s">
        <v>10719</v>
      </c>
      <c r="J758" t="s">
        <v>5766</v>
      </c>
      <c r="K758" t="s">
        <v>74</v>
      </c>
      <c r="L758" t="s">
        <v>74</v>
      </c>
      <c r="M758" t="s">
        <v>77</v>
      </c>
      <c r="N758" t="s">
        <v>78</v>
      </c>
      <c r="O758" t="s">
        <v>74</v>
      </c>
      <c r="P758" t="s">
        <v>74</v>
      </c>
      <c r="Q758" t="s">
        <v>74</v>
      </c>
      <c r="R758" t="s">
        <v>74</v>
      </c>
      <c r="S758" t="s">
        <v>74</v>
      </c>
      <c r="T758" t="s">
        <v>10720</v>
      </c>
      <c r="U758" t="s">
        <v>10721</v>
      </c>
      <c r="V758" t="s">
        <v>10722</v>
      </c>
      <c r="W758" t="s">
        <v>10723</v>
      </c>
      <c r="X758" t="s">
        <v>10724</v>
      </c>
      <c r="Y758" t="s">
        <v>10725</v>
      </c>
      <c r="Z758" t="s">
        <v>10726</v>
      </c>
      <c r="AA758" t="s">
        <v>10727</v>
      </c>
      <c r="AB758" t="s">
        <v>10728</v>
      </c>
      <c r="AC758" t="s">
        <v>74</v>
      </c>
      <c r="AD758" t="s">
        <v>74</v>
      </c>
      <c r="AE758" t="s">
        <v>74</v>
      </c>
      <c r="AF758" t="s">
        <v>74</v>
      </c>
      <c r="AG758">
        <v>71</v>
      </c>
      <c r="AH758">
        <v>53</v>
      </c>
      <c r="AI758">
        <v>57</v>
      </c>
      <c r="AJ758">
        <v>3</v>
      </c>
      <c r="AK758">
        <v>54</v>
      </c>
      <c r="AL758" t="s">
        <v>250</v>
      </c>
      <c r="AM758" t="s">
        <v>251</v>
      </c>
      <c r="AN758" t="s">
        <v>252</v>
      </c>
      <c r="AO758" t="s">
        <v>5776</v>
      </c>
      <c r="AP758" t="s">
        <v>5777</v>
      </c>
      <c r="AQ758" t="s">
        <v>74</v>
      </c>
      <c r="AR758" t="s">
        <v>5778</v>
      </c>
      <c r="AS758" t="s">
        <v>5779</v>
      </c>
      <c r="AT758" t="s">
        <v>10390</v>
      </c>
      <c r="AU758">
        <v>2003</v>
      </c>
      <c r="AV758">
        <v>17</v>
      </c>
      <c r="AW758">
        <v>4</v>
      </c>
      <c r="AX758" t="s">
        <v>74</v>
      </c>
      <c r="AY758" t="s">
        <v>74</v>
      </c>
      <c r="AZ758" t="s">
        <v>74</v>
      </c>
      <c r="BA758" t="s">
        <v>74</v>
      </c>
      <c r="BB758">
        <v>795</v>
      </c>
      <c r="BC758">
        <v>814</v>
      </c>
      <c r="BD758" t="s">
        <v>74</v>
      </c>
      <c r="BE758" t="s">
        <v>10729</v>
      </c>
      <c r="BF758" t="str">
        <f>HYPERLINK("http://dx.doi.org/10.1002/hyp.1166","http://dx.doi.org/10.1002/hyp.1166")</f>
        <v>http://dx.doi.org/10.1002/hyp.1166</v>
      </c>
      <c r="BG758" t="s">
        <v>74</v>
      </c>
      <c r="BH758" t="s">
        <v>74</v>
      </c>
      <c r="BI758">
        <v>20</v>
      </c>
      <c r="BJ758" t="s">
        <v>5781</v>
      </c>
      <c r="BK758" t="s">
        <v>94</v>
      </c>
      <c r="BL758" t="s">
        <v>5781</v>
      </c>
      <c r="BM758" t="s">
        <v>10730</v>
      </c>
      <c r="BN758" t="s">
        <v>74</v>
      </c>
      <c r="BO758" t="s">
        <v>74</v>
      </c>
      <c r="BP758" t="s">
        <v>74</v>
      </c>
      <c r="BQ758" t="s">
        <v>74</v>
      </c>
      <c r="BR758" t="s">
        <v>97</v>
      </c>
      <c r="BS758" t="s">
        <v>10731</v>
      </c>
      <c r="BT758" t="str">
        <f>HYPERLINK("https%3A%2F%2Fwww.webofscience.com%2Fwos%2Fwoscc%2Ffull-record%2FWOS:000181382600007","View Full Record in Web of Science")</f>
        <v>View Full Record in Web of Science</v>
      </c>
    </row>
    <row r="759" spans="1:72" x14ac:dyDescent="0.15">
      <c r="A759" t="s">
        <v>72</v>
      </c>
      <c r="B759" t="s">
        <v>10732</v>
      </c>
      <c r="C759" t="s">
        <v>74</v>
      </c>
      <c r="D759" t="s">
        <v>74</v>
      </c>
      <c r="E759" t="s">
        <v>74</v>
      </c>
      <c r="F759" t="s">
        <v>10732</v>
      </c>
      <c r="G759" t="s">
        <v>74</v>
      </c>
      <c r="H759" t="s">
        <v>74</v>
      </c>
      <c r="I759" t="s">
        <v>10733</v>
      </c>
      <c r="J759" t="s">
        <v>10734</v>
      </c>
      <c r="K759" t="s">
        <v>74</v>
      </c>
      <c r="L759" t="s">
        <v>74</v>
      </c>
      <c r="M759" t="s">
        <v>77</v>
      </c>
      <c r="N759" t="s">
        <v>7189</v>
      </c>
      <c r="O759" t="s">
        <v>74</v>
      </c>
      <c r="P759" t="s">
        <v>74</v>
      </c>
      <c r="Q759" t="s">
        <v>74</v>
      </c>
      <c r="R759" t="s">
        <v>74</v>
      </c>
      <c r="S759" t="s">
        <v>74</v>
      </c>
      <c r="T759" t="s">
        <v>74</v>
      </c>
      <c r="U759" t="s">
        <v>74</v>
      </c>
      <c r="V759" t="s">
        <v>74</v>
      </c>
      <c r="W759" t="s">
        <v>10735</v>
      </c>
      <c r="X759" t="s">
        <v>2358</v>
      </c>
      <c r="Y759" t="s">
        <v>10736</v>
      </c>
      <c r="Z759" t="s">
        <v>74</v>
      </c>
      <c r="AA759" t="s">
        <v>74</v>
      </c>
      <c r="AB759" t="s">
        <v>74</v>
      </c>
      <c r="AC759" t="s">
        <v>74</v>
      </c>
      <c r="AD759" t="s">
        <v>74</v>
      </c>
      <c r="AE759" t="s">
        <v>74</v>
      </c>
      <c r="AF759" t="s">
        <v>74</v>
      </c>
      <c r="AG759">
        <v>1</v>
      </c>
      <c r="AH759">
        <v>0</v>
      </c>
      <c r="AI759">
        <v>0</v>
      </c>
      <c r="AJ759">
        <v>0</v>
      </c>
      <c r="AK759">
        <v>0</v>
      </c>
      <c r="AL759" t="s">
        <v>10737</v>
      </c>
      <c r="AM759" t="s">
        <v>10738</v>
      </c>
      <c r="AN759" t="s">
        <v>10739</v>
      </c>
      <c r="AO759" t="s">
        <v>10740</v>
      </c>
      <c r="AP759" t="s">
        <v>74</v>
      </c>
      <c r="AQ759" t="s">
        <v>74</v>
      </c>
      <c r="AR759" t="s">
        <v>10741</v>
      </c>
      <c r="AS759" t="s">
        <v>10742</v>
      </c>
      <c r="AT759" t="s">
        <v>10390</v>
      </c>
      <c r="AU759">
        <v>2003</v>
      </c>
      <c r="AV759">
        <v>25</v>
      </c>
      <c r="AW759">
        <v>1</v>
      </c>
      <c r="AX759" t="s">
        <v>74</v>
      </c>
      <c r="AY759" t="s">
        <v>74</v>
      </c>
      <c r="AZ759" t="s">
        <v>74</v>
      </c>
      <c r="BA759" t="s">
        <v>74</v>
      </c>
      <c r="BB759">
        <v>174</v>
      </c>
      <c r="BC759">
        <v>175</v>
      </c>
      <c r="BD759" t="s">
        <v>74</v>
      </c>
      <c r="BE759" t="s">
        <v>74</v>
      </c>
      <c r="BF759" t="s">
        <v>74</v>
      </c>
      <c r="BG759" t="s">
        <v>74</v>
      </c>
      <c r="BH759" t="s">
        <v>74</v>
      </c>
      <c r="BI759">
        <v>2</v>
      </c>
      <c r="BJ759" t="s">
        <v>10743</v>
      </c>
      <c r="BK759" t="s">
        <v>10744</v>
      </c>
      <c r="BL759" t="s">
        <v>10743</v>
      </c>
      <c r="BM759" t="s">
        <v>10745</v>
      </c>
      <c r="BN759" t="s">
        <v>74</v>
      </c>
      <c r="BO759" t="s">
        <v>74</v>
      </c>
      <c r="BP759" t="s">
        <v>74</v>
      </c>
      <c r="BQ759" t="s">
        <v>74</v>
      </c>
      <c r="BR759" t="s">
        <v>97</v>
      </c>
      <c r="BS759" t="s">
        <v>10746</v>
      </c>
      <c r="BT759" t="str">
        <f>HYPERLINK("https%3A%2F%2Fwww.webofscience.com%2Fwos%2Fwoscc%2Ffull-record%2FWOS:000181355800048","View Full Record in Web of Science")</f>
        <v>View Full Record in Web of Science</v>
      </c>
    </row>
    <row r="760" spans="1:72" x14ac:dyDescent="0.15">
      <c r="A760" t="s">
        <v>72</v>
      </c>
      <c r="B760" t="s">
        <v>10747</v>
      </c>
      <c r="C760" t="s">
        <v>74</v>
      </c>
      <c r="D760" t="s">
        <v>74</v>
      </c>
      <c r="E760" t="s">
        <v>74</v>
      </c>
      <c r="F760" t="s">
        <v>10747</v>
      </c>
      <c r="G760" t="s">
        <v>74</v>
      </c>
      <c r="H760" t="s">
        <v>74</v>
      </c>
      <c r="I760" t="s">
        <v>10748</v>
      </c>
      <c r="J760" t="s">
        <v>10749</v>
      </c>
      <c r="K760" t="s">
        <v>74</v>
      </c>
      <c r="L760" t="s">
        <v>74</v>
      </c>
      <c r="M760" t="s">
        <v>77</v>
      </c>
      <c r="N760" t="s">
        <v>78</v>
      </c>
      <c r="O760" t="s">
        <v>74</v>
      </c>
      <c r="P760" t="s">
        <v>74</v>
      </c>
      <c r="Q760" t="s">
        <v>74</v>
      </c>
      <c r="R760" t="s">
        <v>74</v>
      </c>
      <c r="S760" t="s">
        <v>74</v>
      </c>
      <c r="T760" t="s">
        <v>74</v>
      </c>
      <c r="U760" t="s">
        <v>10750</v>
      </c>
      <c r="V760" t="s">
        <v>10751</v>
      </c>
      <c r="W760" t="s">
        <v>10752</v>
      </c>
      <c r="X760" t="s">
        <v>10753</v>
      </c>
      <c r="Y760" t="s">
        <v>10754</v>
      </c>
      <c r="Z760" t="s">
        <v>74</v>
      </c>
      <c r="AA760" t="s">
        <v>74</v>
      </c>
      <c r="AB760" t="s">
        <v>74</v>
      </c>
      <c r="AC760" t="s">
        <v>74</v>
      </c>
      <c r="AD760" t="s">
        <v>74</v>
      </c>
      <c r="AE760" t="s">
        <v>74</v>
      </c>
      <c r="AF760" t="s">
        <v>74</v>
      </c>
      <c r="AG760">
        <v>84</v>
      </c>
      <c r="AH760">
        <v>52</v>
      </c>
      <c r="AI760">
        <v>70</v>
      </c>
      <c r="AJ760">
        <v>0</v>
      </c>
      <c r="AK760">
        <v>17</v>
      </c>
      <c r="AL760" t="s">
        <v>10755</v>
      </c>
      <c r="AM760" t="s">
        <v>3863</v>
      </c>
      <c r="AN760" t="s">
        <v>10756</v>
      </c>
      <c r="AO760" t="s">
        <v>10757</v>
      </c>
      <c r="AP760" t="s">
        <v>74</v>
      </c>
      <c r="AQ760" t="s">
        <v>74</v>
      </c>
      <c r="AR760" t="s">
        <v>10758</v>
      </c>
      <c r="AS760" t="s">
        <v>10759</v>
      </c>
      <c r="AT760" t="s">
        <v>10390</v>
      </c>
      <c r="AU760">
        <v>2003</v>
      </c>
      <c r="AV760">
        <v>47</v>
      </c>
      <c r="AW760">
        <v>1</v>
      </c>
      <c r="AX760" t="s">
        <v>74</v>
      </c>
      <c r="AY760" t="s">
        <v>74</v>
      </c>
      <c r="AZ760" t="s">
        <v>74</v>
      </c>
      <c r="BA760" t="s">
        <v>74</v>
      </c>
      <c r="BB760">
        <v>123</v>
      </c>
      <c r="BC760">
        <v>150</v>
      </c>
      <c r="BD760" t="s">
        <v>74</v>
      </c>
      <c r="BE760" t="s">
        <v>10760</v>
      </c>
      <c r="BF760" t="str">
        <f>HYPERLINK("http://dx.doi.org/10.1111/1468-2478.4701006","http://dx.doi.org/10.1111/1468-2478.4701006")</f>
        <v>http://dx.doi.org/10.1111/1468-2478.4701006</v>
      </c>
      <c r="BG760" t="s">
        <v>74</v>
      </c>
      <c r="BH760" t="s">
        <v>74</v>
      </c>
      <c r="BI760">
        <v>28</v>
      </c>
      <c r="BJ760" t="s">
        <v>10761</v>
      </c>
      <c r="BK760" t="s">
        <v>7200</v>
      </c>
      <c r="BL760" t="s">
        <v>9776</v>
      </c>
      <c r="BM760" t="s">
        <v>10762</v>
      </c>
      <c r="BN760" t="s">
        <v>74</v>
      </c>
      <c r="BO760" t="s">
        <v>96</v>
      </c>
      <c r="BP760" t="s">
        <v>74</v>
      </c>
      <c r="BQ760" t="s">
        <v>74</v>
      </c>
      <c r="BR760" t="s">
        <v>97</v>
      </c>
      <c r="BS760" t="s">
        <v>10763</v>
      </c>
      <c r="BT760" t="str">
        <f>HYPERLINK("https%3A%2F%2Fwww.webofscience.com%2Fwos%2Fwoscc%2Ffull-record%2FWOS:000181662200006","View Full Record in Web of Science")</f>
        <v>View Full Record in Web of Science</v>
      </c>
    </row>
    <row r="761" spans="1:72" x14ac:dyDescent="0.15">
      <c r="A761" t="s">
        <v>72</v>
      </c>
      <c r="B761" t="s">
        <v>10764</v>
      </c>
      <c r="C761" t="s">
        <v>74</v>
      </c>
      <c r="D761" t="s">
        <v>74</v>
      </c>
      <c r="E761" t="s">
        <v>74</v>
      </c>
      <c r="F761" t="s">
        <v>10764</v>
      </c>
      <c r="G761" t="s">
        <v>74</v>
      </c>
      <c r="H761" t="s">
        <v>74</v>
      </c>
      <c r="I761" t="s">
        <v>10765</v>
      </c>
      <c r="J761" t="s">
        <v>8232</v>
      </c>
      <c r="K761" t="s">
        <v>74</v>
      </c>
      <c r="L761" t="s">
        <v>74</v>
      </c>
      <c r="M761" t="s">
        <v>77</v>
      </c>
      <c r="N761" t="s">
        <v>159</v>
      </c>
      <c r="O761" t="s">
        <v>10766</v>
      </c>
      <c r="P761" t="s">
        <v>10767</v>
      </c>
      <c r="Q761" t="s">
        <v>8235</v>
      </c>
      <c r="R761" t="s">
        <v>74</v>
      </c>
      <c r="S761" t="s">
        <v>74</v>
      </c>
      <c r="T761" t="s">
        <v>74</v>
      </c>
      <c r="U761" t="s">
        <v>10768</v>
      </c>
      <c r="V761" t="s">
        <v>10769</v>
      </c>
      <c r="W761" t="s">
        <v>10770</v>
      </c>
      <c r="X761" t="s">
        <v>10771</v>
      </c>
      <c r="Y761" t="s">
        <v>10772</v>
      </c>
      <c r="Z761" t="s">
        <v>74</v>
      </c>
      <c r="AA761" t="s">
        <v>10773</v>
      </c>
      <c r="AB761" t="s">
        <v>10774</v>
      </c>
      <c r="AC761" t="s">
        <v>74</v>
      </c>
      <c r="AD761" t="s">
        <v>74</v>
      </c>
      <c r="AE761" t="s">
        <v>74</v>
      </c>
      <c r="AF761" t="s">
        <v>74</v>
      </c>
      <c r="AG761">
        <v>5</v>
      </c>
      <c r="AH761">
        <v>8</v>
      </c>
      <c r="AI761">
        <v>8</v>
      </c>
      <c r="AJ761">
        <v>1</v>
      </c>
      <c r="AK761">
        <v>3</v>
      </c>
      <c r="AL761" t="s">
        <v>4670</v>
      </c>
      <c r="AM761" t="s">
        <v>4671</v>
      </c>
      <c r="AN761" t="s">
        <v>4672</v>
      </c>
      <c r="AO761" t="s">
        <v>8241</v>
      </c>
      <c r="AP761" t="s">
        <v>74</v>
      </c>
      <c r="AQ761" t="s">
        <v>74</v>
      </c>
      <c r="AR761" t="s">
        <v>8242</v>
      </c>
      <c r="AS761" t="s">
        <v>8243</v>
      </c>
      <c r="AT761" t="s">
        <v>10390</v>
      </c>
      <c r="AU761">
        <v>2003</v>
      </c>
      <c r="AV761">
        <v>104</v>
      </c>
      <c r="AW761" t="s">
        <v>74</v>
      </c>
      <c r="AX761" t="s">
        <v>74</v>
      </c>
      <c r="AY761" t="s">
        <v>74</v>
      </c>
      <c r="AZ761" t="s">
        <v>74</v>
      </c>
      <c r="BA761" t="s">
        <v>74</v>
      </c>
      <c r="BB761">
        <v>45</v>
      </c>
      <c r="BC761">
        <v>48</v>
      </c>
      <c r="BD761" t="s">
        <v>74</v>
      </c>
      <c r="BE761" t="s">
        <v>10775</v>
      </c>
      <c r="BF761" t="str">
        <f>HYPERLINK("http://dx.doi.org/10.1051/jp4:200300026","http://dx.doi.org/10.1051/jp4:200300026")</f>
        <v>http://dx.doi.org/10.1051/jp4:200300026</v>
      </c>
      <c r="BG761" t="s">
        <v>74</v>
      </c>
      <c r="BH761" t="s">
        <v>74</v>
      </c>
      <c r="BI761">
        <v>4</v>
      </c>
      <c r="BJ761" t="s">
        <v>428</v>
      </c>
      <c r="BK761" t="s">
        <v>854</v>
      </c>
      <c r="BL761" t="s">
        <v>429</v>
      </c>
      <c r="BM761" t="s">
        <v>10776</v>
      </c>
      <c r="BN761" t="s">
        <v>74</v>
      </c>
      <c r="BO761" t="s">
        <v>74</v>
      </c>
      <c r="BP761" t="s">
        <v>74</v>
      </c>
      <c r="BQ761" t="s">
        <v>74</v>
      </c>
      <c r="BR761" t="s">
        <v>97</v>
      </c>
      <c r="BS761" t="s">
        <v>10777</v>
      </c>
      <c r="BT761" t="str">
        <f>HYPERLINK("https%3A%2F%2Fwww.webofscience.com%2Fwos%2Fwoscc%2Ffull-record%2FWOS:000183273900013","View Full Record in Web of Science")</f>
        <v>View Full Record in Web of Science</v>
      </c>
    </row>
    <row r="762" spans="1:72" x14ac:dyDescent="0.15">
      <c r="A762" t="s">
        <v>72</v>
      </c>
      <c r="B762" t="s">
        <v>10778</v>
      </c>
      <c r="C762" t="s">
        <v>74</v>
      </c>
      <c r="D762" t="s">
        <v>74</v>
      </c>
      <c r="E762" t="s">
        <v>74</v>
      </c>
      <c r="F762" t="s">
        <v>10778</v>
      </c>
      <c r="G762" t="s">
        <v>74</v>
      </c>
      <c r="H762" t="s">
        <v>74</v>
      </c>
      <c r="I762" t="s">
        <v>10779</v>
      </c>
      <c r="J762" t="s">
        <v>1984</v>
      </c>
      <c r="K762" t="s">
        <v>74</v>
      </c>
      <c r="L762" t="s">
        <v>74</v>
      </c>
      <c r="M762" t="s">
        <v>77</v>
      </c>
      <c r="N762" t="s">
        <v>78</v>
      </c>
      <c r="O762" t="s">
        <v>74</v>
      </c>
      <c r="P762" t="s">
        <v>74</v>
      </c>
      <c r="Q762" t="s">
        <v>74</v>
      </c>
      <c r="R762" t="s">
        <v>74</v>
      </c>
      <c r="S762" t="s">
        <v>74</v>
      </c>
      <c r="T762" t="s">
        <v>10780</v>
      </c>
      <c r="U762" t="s">
        <v>10781</v>
      </c>
      <c r="V762" t="s">
        <v>10782</v>
      </c>
      <c r="W762" t="s">
        <v>74</v>
      </c>
      <c r="X762" t="s">
        <v>74</v>
      </c>
      <c r="Y762" t="s">
        <v>10783</v>
      </c>
      <c r="Z762" t="s">
        <v>74</v>
      </c>
      <c r="AA762" t="s">
        <v>74</v>
      </c>
      <c r="AB762" t="s">
        <v>74</v>
      </c>
      <c r="AC762" t="s">
        <v>74</v>
      </c>
      <c r="AD762" t="s">
        <v>74</v>
      </c>
      <c r="AE762" t="s">
        <v>74</v>
      </c>
      <c r="AF762" t="s">
        <v>74</v>
      </c>
      <c r="AG762">
        <v>24</v>
      </c>
      <c r="AH762">
        <v>58</v>
      </c>
      <c r="AI762">
        <v>63</v>
      </c>
      <c r="AJ762">
        <v>0</v>
      </c>
      <c r="AK762">
        <v>6</v>
      </c>
      <c r="AL762" t="s">
        <v>169</v>
      </c>
      <c r="AM762" t="s">
        <v>170</v>
      </c>
      <c r="AN762" t="s">
        <v>171</v>
      </c>
      <c r="AO762" t="s">
        <v>1997</v>
      </c>
      <c r="AP762" t="s">
        <v>74</v>
      </c>
      <c r="AQ762" t="s">
        <v>74</v>
      </c>
      <c r="AR762" t="s">
        <v>1998</v>
      </c>
      <c r="AS762" t="s">
        <v>1999</v>
      </c>
      <c r="AT762" t="s">
        <v>10390</v>
      </c>
      <c r="AU762">
        <v>2003</v>
      </c>
      <c r="AV762">
        <v>21</v>
      </c>
      <c r="AW762">
        <v>6</v>
      </c>
      <c r="AX762" t="s">
        <v>74</v>
      </c>
      <c r="AY762" t="s">
        <v>74</v>
      </c>
      <c r="AZ762" t="s">
        <v>74</v>
      </c>
      <c r="BA762" t="s">
        <v>74</v>
      </c>
      <c r="BB762">
        <v>543</v>
      </c>
      <c r="BC762">
        <v>551</v>
      </c>
      <c r="BD762" t="s">
        <v>10784</v>
      </c>
      <c r="BE762" t="s">
        <v>10785</v>
      </c>
      <c r="BF762" t="str">
        <f>HYPERLINK("http://dx.doi.org/10.1016/S1367-9120(02)00145-1","http://dx.doi.org/10.1016/S1367-9120(02)00145-1")</f>
        <v>http://dx.doi.org/10.1016/S1367-9120(02)00145-1</v>
      </c>
      <c r="BG762" t="s">
        <v>74</v>
      </c>
      <c r="BH762" t="s">
        <v>74</v>
      </c>
      <c r="BI762">
        <v>9</v>
      </c>
      <c r="BJ762" t="s">
        <v>548</v>
      </c>
      <c r="BK762" t="s">
        <v>94</v>
      </c>
      <c r="BL762" t="s">
        <v>549</v>
      </c>
      <c r="BM762" t="s">
        <v>10786</v>
      </c>
      <c r="BN762" t="s">
        <v>74</v>
      </c>
      <c r="BO762" t="s">
        <v>74</v>
      </c>
      <c r="BP762" t="s">
        <v>74</v>
      </c>
      <c r="BQ762" t="s">
        <v>74</v>
      </c>
      <c r="BR762" t="s">
        <v>97</v>
      </c>
      <c r="BS762" t="s">
        <v>10787</v>
      </c>
      <c r="BT762" t="str">
        <f>HYPERLINK("https%3A%2F%2Fwww.webofscience.com%2Fwos%2Fwoscc%2Ffull-record%2FWOS:000182442600004","View Full Record in Web of Science")</f>
        <v>View Full Record in Web of Science</v>
      </c>
    </row>
    <row r="763" spans="1:72" x14ac:dyDescent="0.15">
      <c r="A763" t="s">
        <v>72</v>
      </c>
      <c r="B763" t="s">
        <v>10788</v>
      </c>
      <c r="C763" t="s">
        <v>74</v>
      </c>
      <c r="D763" t="s">
        <v>74</v>
      </c>
      <c r="E763" t="s">
        <v>74</v>
      </c>
      <c r="F763" t="s">
        <v>10788</v>
      </c>
      <c r="G763" t="s">
        <v>74</v>
      </c>
      <c r="H763" t="s">
        <v>74</v>
      </c>
      <c r="I763" t="s">
        <v>10789</v>
      </c>
      <c r="J763" t="s">
        <v>8312</v>
      </c>
      <c r="K763" t="s">
        <v>74</v>
      </c>
      <c r="L763" t="s">
        <v>74</v>
      </c>
      <c r="M763" t="s">
        <v>77</v>
      </c>
      <c r="N763" t="s">
        <v>78</v>
      </c>
      <c r="O763" t="s">
        <v>74</v>
      </c>
      <c r="P763" t="s">
        <v>74</v>
      </c>
      <c r="Q763" t="s">
        <v>74</v>
      </c>
      <c r="R763" t="s">
        <v>74</v>
      </c>
      <c r="S763" t="s">
        <v>74</v>
      </c>
      <c r="T763" t="s">
        <v>10790</v>
      </c>
      <c r="U763" t="s">
        <v>10791</v>
      </c>
      <c r="V763" t="s">
        <v>10792</v>
      </c>
      <c r="W763" t="s">
        <v>10793</v>
      </c>
      <c r="X763" t="s">
        <v>10794</v>
      </c>
      <c r="Y763" t="s">
        <v>10795</v>
      </c>
      <c r="Z763" t="s">
        <v>10796</v>
      </c>
      <c r="AA763" t="s">
        <v>10797</v>
      </c>
      <c r="AB763" t="s">
        <v>10798</v>
      </c>
      <c r="AC763" t="s">
        <v>74</v>
      </c>
      <c r="AD763" t="s">
        <v>74</v>
      </c>
      <c r="AE763" t="s">
        <v>74</v>
      </c>
      <c r="AF763" t="s">
        <v>74</v>
      </c>
      <c r="AG763">
        <v>32</v>
      </c>
      <c r="AH763">
        <v>7</v>
      </c>
      <c r="AI763">
        <v>8</v>
      </c>
      <c r="AJ763">
        <v>0</v>
      </c>
      <c r="AK763">
        <v>4</v>
      </c>
      <c r="AL763" t="s">
        <v>169</v>
      </c>
      <c r="AM763" t="s">
        <v>170</v>
      </c>
      <c r="AN763" t="s">
        <v>171</v>
      </c>
      <c r="AO763" t="s">
        <v>8319</v>
      </c>
      <c r="AP763" t="s">
        <v>10799</v>
      </c>
      <c r="AQ763" t="s">
        <v>74</v>
      </c>
      <c r="AR763" t="s">
        <v>8320</v>
      </c>
      <c r="AS763" t="s">
        <v>8321</v>
      </c>
      <c r="AT763" t="s">
        <v>10390</v>
      </c>
      <c r="AU763">
        <v>2003</v>
      </c>
      <c r="AV763">
        <v>65</v>
      </c>
      <c r="AW763">
        <v>4</v>
      </c>
      <c r="AX763" t="s">
        <v>74</v>
      </c>
      <c r="AY763" t="s">
        <v>74</v>
      </c>
      <c r="AZ763" t="s">
        <v>74</v>
      </c>
      <c r="BA763" t="s">
        <v>74</v>
      </c>
      <c r="BB763">
        <v>417</v>
      </c>
      <c r="BC763">
        <v>427</v>
      </c>
      <c r="BD763" t="s">
        <v>10800</v>
      </c>
      <c r="BE763" t="s">
        <v>10801</v>
      </c>
      <c r="BF763" t="str">
        <f>HYPERLINK("http://dx.doi.org/10.1016/S1364-6826(02)00198-0","http://dx.doi.org/10.1016/S1364-6826(02)00198-0")</f>
        <v>http://dx.doi.org/10.1016/S1364-6826(02)00198-0</v>
      </c>
      <c r="BG763" t="s">
        <v>74</v>
      </c>
      <c r="BH763" t="s">
        <v>74</v>
      </c>
      <c r="BI763">
        <v>11</v>
      </c>
      <c r="BJ763" t="s">
        <v>8323</v>
      </c>
      <c r="BK763" t="s">
        <v>94</v>
      </c>
      <c r="BL763" t="s">
        <v>8323</v>
      </c>
      <c r="BM763" t="s">
        <v>10802</v>
      </c>
      <c r="BN763" t="s">
        <v>74</v>
      </c>
      <c r="BO763" t="s">
        <v>74</v>
      </c>
      <c r="BP763" t="s">
        <v>74</v>
      </c>
      <c r="BQ763" t="s">
        <v>74</v>
      </c>
      <c r="BR763" t="s">
        <v>97</v>
      </c>
      <c r="BS763" t="s">
        <v>10803</v>
      </c>
      <c r="BT763" t="str">
        <f>HYPERLINK("https%3A%2F%2Fwww.webofscience.com%2Fwos%2Fwoscc%2Ffull-record%2FWOS:000181699200003","View Full Record in Web of Science")</f>
        <v>View Full Record in Web of Science</v>
      </c>
    </row>
    <row r="764" spans="1:72" x14ac:dyDescent="0.15">
      <c r="A764" t="s">
        <v>72</v>
      </c>
      <c r="B764" t="s">
        <v>10804</v>
      </c>
      <c r="C764" t="s">
        <v>74</v>
      </c>
      <c r="D764" t="s">
        <v>74</v>
      </c>
      <c r="E764" t="s">
        <v>74</v>
      </c>
      <c r="F764" t="s">
        <v>10804</v>
      </c>
      <c r="G764" t="s">
        <v>74</v>
      </c>
      <c r="H764" t="s">
        <v>74</v>
      </c>
      <c r="I764" t="s">
        <v>10805</v>
      </c>
      <c r="J764" t="s">
        <v>8312</v>
      </c>
      <c r="K764" t="s">
        <v>74</v>
      </c>
      <c r="L764" t="s">
        <v>74</v>
      </c>
      <c r="M764" t="s">
        <v>77</v>
      </c>
      <c r="N764" t="s">
        <v>78</v>
      </c>
      <c r="O764" t="s">
        <v>74</v>
      </c>
      <c r="P764" t="s">
        <v>74</v>
      </c>
      <c r="Q764" t="s">
        <v>74</v>
      </c>
      <c r="R764" t="s">
        <v>74</v>
      </c>
      <c r="S764" t="s">
        <v>74</v>
      </c>
      <c r="T764" t="s">
        <v>10806</v>
      </c>
      <c r="U764" t="s">
        <v>10807</v>
      </c>
      <c r="V764" t="s">
        <v>10808</v>
      </c>
      <c r="W764" t="s">
        <v>10809</v>
      </c>
      <c r="X764" t="s">
        <v>10810</v>
      </c>
      <c r="Y764" t="s">
        <v>10811</v>
      </c>
      <c r="Z764" t="s">
        <v>10812</v>
      </c>
      <c r="AA764" t="s">
        <v>10813</v>
      </c>
      <c r="AB764" t="s">
        <v>10814</v>
      </c>
      <c r="AC764" t="s">
        <v>74</v>
      </c>
      <c r="AD764" t="s">
        <v>74</v>
      </c>
      <c r="AE764" t="s">
        <v>74</v>
      </c>
      <c r="AF764" t="s">
        <v>74</v>
      </c>
      <c r="AG764">
        <v>53</v>
      </c>
      <c r="AH764">
        <v>66</v>
      </c>
      <c r="AI764">
        <v>71</v>
      </c>
      <c r="AJ764">
        <v>0</v>
      </c>
      <c r="AK764">
        <v>13</v>
      </c>
      <c r="AL764" t="s">
        <v>169</v>
      </c>
      <c r="AM764" t="s">
        <v>170</v>
      </c>
      <c r="AN764" t="s">
        <v>171</v>
      </c>
      <c r="AO764" t="s">
        <v>8319</v>
      </c>
      <c r="AP764" t="s">
        <v>74</v>
      </c>
      <c r="AQ764" t="s">
        <v>74</v>
      </c>
      <c r="AR764" t="s">
        <v>8320</v>
      </c>
      <c r="AS764" t="s">
        <v>8321</v>
      </c>
      <c r="AT764" t="s">
        <v>10390</v>
      </c>
      <c r="AU764">
        <v>2003</v>
      </c>
      <c r="AV764">
        <v>65</v>
      </c>
      <c r="AW764">
        <v>4</v>
      </c>
      <c r="AX764" t="s">
        <v>74</v>
      </c>
      <c r="AY764" t="s">
        <v>74</v>
      </c>
      <c r="AZ764" t="s">
        <v>74</v>
      </c>
      <c r="BA764" t="s">
        <v>74</v>
      </c>
      <c r="BB764">
        <v>483</v>
      </c>
      <c r="BC764">
        <v>493</v>
      </c>
      <c r="BD764" t="s">
        <v>74</v>
      </c>
      <c r="BE764" t="s">
        <v>10815</v>
      </c>
      <c r="BF764" t="str">
        <f>HYPERLINK("http://dx.doi.org/10.1016/S1364-6826(02)00340-1","http://dx.doi.org/10.1016/S1364-6826(02)00340-1")</f>
        <v>http://dx.doi.org/10.1016/S1364-6826(02)00340-1</v>
      </c>
      <c r="BG764" t="s">
        <v>74</v>
      </c>
      <c r="BH764" t="s">
        <v>74</v>
      </c>
      <c r="BI764">
        <v>11</v>
      </c>
      <c r="BJ764" t="s">
        <v>8323</v>
      </c>
      <c r="BK764" t="s">
        <v>94</v>
      </c>
      <c r="BL764" t="s">
        <v>8323</v>
      </c>
      <c r="BM764" t="s">
        <v>10802</v>
      </c>
      <c r="BN764" t="s">
        <v>74</v>
      </c>
      <c r="BO764" t="s">
        <v>74</v>
      </c>
      <c r="BP764" t="s">
        <v>74</v>
      </c>
      <c r="BQ764" t="s">
        <v>74</v>
      </c>
      <c r="BR764" t="s">
        <v>97</v>
      </c>
      <c r="BS764" t="s">
        <v>10816</v>
      </c>
      <c r="BT764" t="str">
        <f>HYPERLINK("https%3A%2F%2Fwww.webofscience.com%2Fwos%2Fwoscc%2Ffull-record%2FWOS:000181699200008","View Full Record in Web of Science")</f>
        <v>View Full Record in Web of Science</v>
      </c>
    </row>
    <row r="765" spans="1:72" x14ac:dyDescent="0.15">
      <c r="A765" t="s">
        <v>72</v>
      </c>
      <c r="B765" t="s">
        <v>761</v>
      </c>
      <c r="C765" t="s">
        <v>74</v>
      </c>
      <c r="D765" t="s">
        <v>74</v>
      </c>
      <c r="E765" t="s">
        <v>74</v>
      </c>
      <c r="F765" t="s">
        <v>761</v>
      </c>
      <c r="G765" t="s">
        <v>74</v>
      </c>
      <c r="H765" t="s">
        <v>74</v>
      </c>
      <c r="I765" t="s">
        <v>10817</v>
      </c>
      <c r="J765" t="s">
        <v>76</v>
      </c>
      <c r="K765" t="s">
        <v>74</v>
      </c>
      <c r="L765" t="s">
        <v>74</v>
      </c>
      <c r="M765" t="s">
        <v>77</v>
      </c>
      <c r="N765" t="s">
        <v>78</v>
      </c>
      <c r="O765" t="s">
        <v>74</v>
      </c>
      <c r="P765" t="s">
        <v>74</v>
      </c>
      <c r="Q765" t="s">
        <v>74</v>
      </c>
      <c r="R765" t="s">
        <v>74</v>
      </c>
      <c r="S765" t="s">
        <v>74</v>
      </c>
      <c r="T765" t="s">
        <v>74</v>
      </c>
      <c r="U765" t="s">
        <v>10818</v>
      </c>
      <c r="V765" t="s">
        <v>10819</v>
      </c>
      <c r="W765" t="s">
        <v>10820</v>
      </c>
      <c r="X765" t="s">
        <v>10821</v>
      </c>
      <c r="Y765" t="s">
        <v>10822</v>
      </c>
      <c r="Z765" t="s">
        <v>10823</v>
      </c>
      <c r="AA765" t="s">
        <v>74</v>
      </c>
      <c r="AB765" t="s">
        <v>74</v>
      </c>
      <c r="AC765" t="s">
        <v>74</v>
      </c>
      <c r="AD765" t="s">
        <v>74</v>
      </c>
      <c r="AE765" t="s">
        <v>74</v>
      </c>
      <c r="AF765" t="s">
        <v>74</v>
      </c>
      <c r="AG765">
        <v>21</v>
      </c>
      <c r="AH765">
        <v>20</v>
      </c>
      <c r="AI765">
        <v>22</v>
      </c>
      <c r="AJ765">
        <v>0</v>
      </c>
      <c r="AK765">
        <v>9</v>
      </c>
      <c r="AL765" t="s">
        <v>85</v>
      </c>
      <c r="AM765" t="s">
        <v>86</v>
      </c>
      <c r="AN765" t="s">
        <v>87</v>
      </c>
      <c r="AO765" t="s">
        <v>88</v>
      </c>
      <c r="AP765" t="s">
        <v>755</v>
      </c>
      <c r="AQ765" t="s">
        <v>74</v>
      </c>
      <c r="AR765" t="s">
        <v>89</v>
      </c>
      <c r="AS765" t="s">
        <v>90</v>
      </c>
      <c r="AT765" t="s">
        <v>10390</v>
      </c>
      <c r="AU765">
        <v>2003</v>
      </c>
      <c r="AV765">
        <v>16</v>
      </c>
      <c r="AW765">
        <v>5</v>
      </c>
      <c r="AX765" t="s">
        <v>74</v>
      </c>
      <c r="AY765" t="s">
        <v>74</v>
      </c>
      <c r="AZ765" t="s">
        <v>74</v>
      </c>
      <c r="BA765" t="s">
        <v>74</v>
      </c>
      <c r="BB765">
        <v>863</v>
      </c>
      <c r="BC765">
        <v>874</v>
      </c>
      <c r="BD765" t="s">
        <v>74</v>
      </c>
      <c r="BE765" t="s">
        <v>10824</v>
      </c>
      <c r="BF765" t="str">
        <f>HYPERLINK("http://dx.doi.org/10.1175/1520-0442(2003)016&lt;0863:SEZWVA&gt;2.0.CO;2","http://dx.doi.org/10.1175/1520-0442(2003)016&lt;0863:SEZWVA&gt;2.0.CO;2")</f>
        <v>http://dx.doi.org/10.1175/1520-0442(2003)016&lt;0863:SEZWVA&gt;2.0.CO;2</v>
      </c>
      <c r="BG765" t="s">
        <v>74</v>
      </c>
      <c r="BH765" t="s">
        <v>74</v>
      </c>
      <c r="BI765">
        <v>12</v>
      </c>
      <c r="BJ765" t="s">
        <v>93</v>
      </c>
      <c r="BK765" t="s">
        <v>94</v>
      </c>
      <c r="BL765" t="s">
        <v>93</v>
      </c>
      <c r="BM765" t="s">
        <v>10825</v>
      </c>
      <c r="BN765" t="s">
        <v>74</v>
      </c>
      <c r="BO765" t="s">
        <v>759</v>
      </c>
      <c r="BP765" t="s">
        <v>74</v>
      </c>
      <c r="BQ765" t="s">
        <v>74</v>
      </c>
      <c r="BR765" t="s">
        <v>97</v>
      </c>
      <c r="BS765" t="s">
        <v>10826</v>
      </c>
      <c r="BT765" t="str">
        <f>HYPERLINK("https%3A%2F%2Fwww.webofscience.com%2Fwos%2Fwoscc%2Ffull-record%2FWOS:000180965300006","View Full Record in Web of Science")</f>
        <v>View Full Record in Web of Science</v>
      </c>
    </row>
    <row r="766" spans="1:72" x14ac:dyDescent="0.15">
      <c r="A766" t="s">
        <v>72</v>
      </c>
      <c r="B766" t="s">
        <v>10827</v>
      </c>
      <c r="C766" t="s">
        <v>74</v>
      </c>
      <c r="D766" t="s">
        <v>74</v>
      </c>
      <c r="E766" t="s">
        <v>74</v>
      </c>
      <c r="F766" t="s">
        <v>10827</v>
      </c>
      <c r="G766" t="s">
        <v>74</v>
      </c>
      <c r="H766" t="s">
        <v>74</v>
      </c>
      <c r="I766" t="s">
        <v>10828</v>
      </c>
      <c r="J766" t="s">
        <v>2022</v>
      </c>
      <c r="K766" t="s">
        <v>74</v>
      </c>
      <c r="L766" t="s">
        <v>74</v>
      </c>
      <c r="M766" t="s">
        <v>77</v>
      </c>
      <c r="N766" t="s">
        <v>78</v>
      </c>
      <c r="O766" t="s">
        <v>74</v>
      </c>
      <c r="P766" t="s">
        <v>74</v>
      </c>
      <c r="Q766" t="s">
        <v>74</v>
      </c>
      <c r="R766" t="s">
        <v>74</v>
      </c>
      <c r="S766" t="s">
        <v>74</v>
      </c>
      <c r="T766" t="s">
        <v>10829</v>
      </c>
      <c r="U766" t="s">
        <v>10830</v>
      </c>
      <c r="V766" t="s">
        <v>10831</v>
      </c>
      <c r="W766" t="s">
        <v>10832</v>
      </c>
      <c r="X766" t="s">
        <v>10833</v>
      </c>
      <c r="Y766" t="s">
        <v>10834</v>
      </c>
      <c r="Z766" t="s">
        <v>74</v>
      </c>
      <c r="AA766" t="s">
        <v>74</v>
      </c>
      <c r="AB766" t="s">
        <v>10835</v>
      </c>
      <c r="AC766" t="s">
        <v>74</v>
      </c>
      <c r="AD766" t="s">
        <v>74</v>
      </c>
      <c r="AE766" t="s">
        <v>74</v>
      </c>
      <c r="AF766" t="s">
        <v>74</v>
      </c>
      <c r="AG766">
        <v>67</v>
      </c>
      <c r="AH766">
        <v>30</v>
      </c>
      <c r="AI766">
        <v>32</v>
      </c>
      <c r="AJ766">
        <v>1</v>
      </c>
      <c r="AK766">
        <v>11</v>
      </c>
      <c r="AL766" t="s">
        <v>342</v>
      </c>
      <c r="AM766" t="s">
        <v>229</v>
      </c>
      <c r="AN766" t="s">
        <v>343</v>
      </c>
      <c r="AO766" t="s">
        <v>2031</v>
      </c>
      <c r="AP766" t="s">
        <v>74</v>
      </c>
      <c r="AQ766" t="s">
        <v>74</v>
      </c>
      <c r="AR766" t="s">
        <v>2032</v>
      </c>
      <c r="AS766" t="s">
        <v>2033</v>
      </c>
      <c r="AT766" t="s">
        <v>10390</v>
      </c>
      <c r="AU766">
        <v>2003</v>
      </c>
      <c r="AV766">
        <v>173</v>
      </c>
      <c r="AW766">
        <v>2</v>
      </c>
      <c r="AX766" t="s">
        <v>74</v>
      </c>
      <c r="AY766" t="s">
        <v>74</v>
      </c>
      <c r="AZ766" t="s">
        <v>74</v>
      </c>
      <c r="BA766" t="s">
        <v>74</v>
      </c>
      <c r="BB766">
        <v>113</v>
      </c>
      <c r="BC766">
        <v>123</v>
      </c>
      <c r="BD766" t="s">
        <v>74</v>
      </c>
      <c r="BE766" t="s">
        <v>10836</v>
      </c>
      <c r="BF766" t="str">
        <f>HYPERLINK("http://dx.doi.org/10.1007/s00360-002-0313-9","http://dx.doi.org/10.1007/s00360-002-0313-9")</f>
        <v>http://dx.doi.org/10.1007/s00360-002-0313-9</v>
      </c>
      <c r="BG766" t="s">
        <v>74</v>
      </c>
      <c r="BH766" t="s">
        <v>74</v>
      </c>
      <c r="BI766">
        <v>11</v>
      </c>
      <c r="BJ766" t="s">
        <v>2035</v>
      </c>
      <c r="BK766" t="s">
        <v>94</v>
      </c>
      <c r="BL766" t="s">
        <v>2035</v>
      </c>
      <c r="BM766" t="s">
        <v>10837</v>
      </c>
      <c r="BN766">
        <v>12624649</v>
      </c>
      <c r="BO766" t="s">
        <v>74</v>
      </c>
      <c r="BP766" t="s">
        <v>74</v>
      </c>
      <c r="BQ766" t="s">
        <v>74</v>
      </c>
      <c r="BR766" t="s">
        <v>97</v>
      </c>
      <c r="BS766" t="s">
        <v>10838</v>
      </c>
      <c r="BT766" t="str">
        <f>HYPERLINK("https%3A%2F%2Fwww.webofscience.com%2Fwos%2Fwoscc%2Ffull-record%2FWOS:000182178200002","View Full Record in Web of Science")</f>
        <v>View Full Record in Web of Science</v>
      </c>
    </row>
    <row r="767" spans="1:72" x14ac:dyDescent="0.15">
      <c r="A767" t="s">
        <v>72</v>
      </c>
      <c r="B767" t="s">
        <v>10839</v>
      </c>
      <c r="C767" t="s">
        <v>74</v>
      </c>
      <c r="D767" t="s">
        <v>74</v>
      </c>
      <c r="E767" t="s">
        <v>74</v>
      </c>
      <c r="F767" t="s">
        <v>10839</v>
      </c>
      <c r="G767" t="s">
        <v>74</v>
      </c>
      <c r="H767" t="s">
        <v>74</v>
      </c>
      <c r="I767" t="s">
        <v>10840</v>
      </c>
      <c r="J767" t="s">
        <v>124</v>
      </c>
      <c r="K767" t="s">
        <v>74</v>
      </c>
      <c r="L767" t="s">
        <v>74</v>
      </c>
      <c r="M767" t="s">
        <v>77</v>
      </c>
      <c r="N767" t="s">
        <v>78</v>
      </c>
      <c r="O767" t="s">
        <v>74</v>
      </c>
      <c r="P767" t="s">
        <v>74</v>
      </c>
      <c r="Q767" t="s">
        <v>74</v>
      </c>
      <c r="R767" t="s">
        <v>74</v>
      </c>
      <c r="S767" t="s">
        <v>74</v>
      </c>
      <c r="T767" t="s">
        <v>10841</v>
      </c>
      <c r="U767" t="s">
        <v>10842</v>
      </c>
      <c r="V767" t="s">
        <v>10843</v>
      </c>
      <c r="W767" t="s">
        <v>10844</v>
      </c>
      <c r="X767" t="s">
        <v>10845</v>
      </c>
      <c r="Y767" t="s">
        <v>10846</v>
      </c>
      <c r="Z767" t="s">
        <v>10847</v>
      </c>
      <c r="AA767" t="s">
        <v>10848</v>
      </c>
      <c r="AB767" t="s">
        <v>10849</v>
      </c>
      <c r="AC767" t="s">
        <v>74</v>
      </c>
      <c r="AD767" t="s">
        <v>74</v>
      </c>
      <c r="AE767" t="s">
        <v>74</v>
      </c>
      <c r="AF767" t="s">
        <v>74</v>
      </c>
      <c r="AG767">
        <v>49</v>
      </c>
      <c r="AH767">
        <v>25</v>
      </c>
      <c r="AI767">
        <v>30</v>
      </c>
      <c r="AJ767">
        <v>0</v>
      </c>
      <c r="AK767">
        <v>6</v>
      </c>
      <c r="AL767" t="s">
        <v>131</v>
      </c>
      <c r="AM767" t="s">
        <v>132</v>
      </c>
      <c r="AN767" t="s">
        <v>133</v>
      </c>
      <c r="AO767" t="s">
        <v>134</v>
      </c>
      <c r="AP767" t="s">
        <v>74</v>
      </c>
      <c r="AQ767" t="s">
        <v>74</v>
      </c>
      <c r="AR767" t="s">
        <v>135</v>
      </c>
      <c r="AS767" t="s">
        <v>136</v>
      </c>
      <c r="AT767" t="s">
        <v>10390</v>
      </c>
      <c r="AU767">
        <v>2003</v>
      </c>
      <c r="AV767">
        <v>206</v>
      </c>
      <c r="AW767">
        <v>6</v>
      </c>
      <c r="AX767" t="s">
        <v>74</v>
      </c>
      <c r="AY767" t="s">
        <v>74</v>
      </c>
      <c r="AZ767" t="s">
        <v>74</v>
      </c>
      <c r="BA767" t="s">
        <v>74</v>
      </c>
      <c r="BB767">
        <v>1011</v>
      </c>
      <c r="BC767">
        <v>1016</v>
      </c>
      <c r="BD767" t="s">
        <v>74</v>
      </c>
      <c r="BE767" t="s">
        <v>10850</v>
      </c>
      <c r="BF767" t="str">
        <f>HYPERLINK("http://dx.doi.org/10.1242/jeb.00204","http://dx.doi.org/10.1242/jeb.00204")</f>
        <v>http://dx.doi.org/10.1242/jeb.00204</v>
      </c>
      <c r="BG767" t="s">
        <v>74</v>
      </c>
      <c r="BH767" t="s">
        <v>74</v>
      </c>
      <c r="BI767">
        <v>6</v>
      </c>
      <c r="BJ767" t="s">
        <v>138</v>
      </c>
      <c r="BK767" t="s">
        <v>94</v>
      </c>
      <c r="BL767" t="s">
        <v>139</v>
      </c>
      <c r="BM767" t="s">
        <v>10851</v>
      </c>
      <c r="BN767">
        <v>12582143</v>
      </c>
      <c r="BO767" t="s">
        <v>154</v>
      </c>
      <c r="BP767" t="s">
        <v>74</v>
      </c>
      <c r="BQ767" t="s">
        <v>74</v>
      </c>
      <c r="BR767" t="s">
        <v>97</v>
      </c>
      <c r="BS767" t="s">
        <v>10852</v>
      </c>
      <c r="BT767" t="str">
        <f>HYPERLINK("https%3A%2F%2Fwww.webofscience.com%2Fwos%2Fwoscc%2Ffull-record%2FWOS:000181805500008","View Full Record in Web of Science")</f>
        <v>View Full Record in Web of Science</v>
      </c>
    </row>
    <row r="768" spans="1:72" x14ac:dyDescent="0.15">
      <c r="A768" t="s">
        <v>72</v>
      </c>
      <c r="B768" t="s">
        <v>10853</v>
      </c>
      <c r="C768" t="s">
        <v>74</v>
      </c>
      <c r="D768" t="s">
        <v>74</v>
      </c>
      <c r="E768" t="s">
        <v>74</v>
      </c>
      <c r="F768" t="s">
        <v>10853</v>
      </c>
      <c r="G768" t="s">
        <v>74</v>
      </c>
      <c r="H768" t="s">
        <v>74</v>
      </c>
      <c r="I768" t="s">
        <v>10854</v>
      </c>
      <c r="J768" t="s">
        <v>10855</v>
      </c>
      <c r="K768" t="s">
        <v>74</v>
      </c>
      <c r="L768" t="s">
        <v>74</v>
      </c>
      <c r="M768" t="s">
        <v>77</v>
      </c>
      <c r="N768" t="s">
        <v>78</v>
      </c>
      <c r="O768" t="s">
        <v>74</v>
      </c>
      <c r="P768" t="s">
        <v>74</v>
      </c>
      <c r="Q768" t="s">
        <v>74</v>
      </c>
      <c r="R768" t="s">
        <v>74</v>
      </c>
      <c r="S768" t="s">
        <v>74</v>
      </c>
      <c r="T768" t="s">
        <v>10856</v>
      </c>
      <c r="U768" t="s">
        <v>10857</v>
      </c>
      <c r="V768" t="s">
        <v>10858</v>
      </c>
      <c r="W768" t="s">
        <v>705</v>
      </c>
      <c r="X768" t="s">
        <v>706</v>
      </c>
      <c r="Y768" t="s">
        <v>10859</v>
      </c>
      <c r="Z768" t="s">
        <v>74</v>
      </c>
      <c r="AA768" t="s">
        <v>74</v>
      </c>
      <c r="AB768" t="s">
        <v>74</v>
      </c>
      <c r="AC768" t="s">
        <v>74</v>
      </c>
      <c r="AD768" t="s">
        <v>74</v>
      </c>
      <c r="AE768" t="s">
        <v>74</v>
      </c>
      <c r="AF768" t="s">
        <v>74</v>
      </c>
      <c r="AG768">
        <v>57</v>
      </c>
      <c r="AH768">
        <v>48</v>
      </c>
      <c r="AI768">
        <v>61</v>
      </c>
      <c r="AJ768">
        <v>0</v>
      </c>
      <c r="AK768">
        <v>35</v>
      </c>
      <c r="AL768" t="s">
        <v>169</v>
      </c>
      <c r="AM768" t="s">
        <v>170</v>
      </c>
      <c r="AN768" t="s">
        <v>171</v>
      </c>
      <c r="AO768" t="s">
        <v>10860</v>
      </c>
      <c r="AP768" t="s">
        <v>74</v>
      </c>
      <c r="AQ768" t="s">
        <v>74</v>
      </c>
      <c r="AR768" t="s">
        <v>10861</v>
      </c>
      <c r="AS768" t="s">
        <v>10862</v>
      </c>
      <c r="AT768" t="s">
        <v>10390</v>
      </c>
      <c r="AU768">
        <v>2003</v>
      </c>
      <c r="AV768">
        <v>49</v>
      </c>
      <c r="AW768">
        <v>3</v>
      </c>
      <c r="AX768" t="s">
        <v>74</v>
      </c>
      <c r="AY768" t="s">
        <v>74</v>
      </c>
      <c r="AZ768" t="s">
        <v>74</v>
      </c>
      <c r="BA768" t="s">
        <v>74</v>
      </c>
      <c r="BB768">
        <v>193</v>
      </c>
      <c r="BC768">
        <v>203</v>
      </c>
      <c r="BD768" t="s">
        <v>74</v>
      </c>
      <c r="BE768" t="s">
        <v>10863</v>
      </c>
      <c r="BF768" t="str">
        <f>HYPERLINK("http://dx.doi.org/10.1016/S0022-1910(02)00264-0","http://dx.doi.org/10.1016/S0022-1910(02)00264-0")</f>
        <v>http://dx.doi.org/10.1016/S0022-1910(02)00264-0</v>
      </c>
      <c r="BG768" t="s">
        <v>74</v>
      </c>
      <c r="BH768" t="s">
        <v>74</v>
      </c>
      <c r="BI768">
        <v>11</v>
      </c>
      <c r="BJ768" t="s">
        <v>10864</v>
      </c>
      <c r="BK768" t="s">
        <v>94</v>
      </c>
      <c r="BL768" t="s">
        <v>10864</v>
      </c>
      <c r="BM768" t="s">
        <v>10865</v>
      </c>
      <c r="BN768">
        <v>12769994</v>
      </c>
      <c r="BO768" t="s">
        <v>74</v>
      </c>
      <c r="BP768" t="s">
        <v>74</v>
      </c>
      <c r="BQ768" t="s">
        <v>74</v>
      </c>
      <c r="BR768" t="s">
        <v>97</v>
      </c>
      <c r="BS768" t="s">
        <v>10866</v>
      </c>
      <c r="BT768" t="str">
        <f>HYPERLINK("https%3A%2F%2Fwww.webofscience.com%2Fwos%2Fwoscc%2Ffull-record%2FWOS:000182147000002","View Full Record in Web of Science")</f>
        <v>View Full Record in Web of Science</v>
      </c>
    </row>
    <row r="769" spans="1:72" x14ac:dyDescent="0.15">
      <c r="A769" t="s">
        <v>72</v>
      </c>
      <c r="B769" t="s">
        <v>10867</v>
      </c>
      <c r="C769" t="s">
        <v>74</v>
      </c>
      <c r="D769" t="s">
        <v>74</v>
      </c>
      <c r="E769" t="s">
        <v>74</v>
      </c>
      <c r="F769" t="s">
        <v>10867</v>
      </c>
      <c r="G769" t="s">
        <v>74</v>
      </c>
      <c r="H769" t="s">
        <v>74</v>
      </c>
      <c r="I769" t="s">
        <v>10868</v>
      </c>
      <c r="J769" t="s">
        <v>10869</v>
      </c>
      <c r="K769" t="s">
        <v>74</v>
      </c>
      <c r="L769" t="s">
        <v>74</v>
      </c>
      <c r="M769" t="s">
        <v>77</v>
      </c>
      <c r="N769" t="s">
        <v>78</v>
      </c>
      <c r="O769" t="s">
        <v>74</v>
      </c>
      <c r="P769" t="s">
        <v>74</v>
      </c>
      <c r="Q769" t="s">
        <v>74</v>
      </c>
      <c r="R769" t="s">
        <v>74</v>
      </c>
      <c r="S769" t="s">
        <v>74</v>
      </c>
      <c r="T769" t="s">
        <v>10870</v>
      </c>
      <c r="U769" t="s">
        <v>10871</v>
      </c>
      <c r="V769" t="s">
        <v>10872</v>
      </c>
      <c r="W769" t="s">
        <v>10873</v>
      </c>
      <c r="X769" t="s">
        <v>10874</v>
      </c>
      <c r="Y769" t="s">
        <v>10875</v>
      </c>
      <c r="Z769" t="s">
        <v>10876</v>
      </c>
      <c r="AA769" t="s">
        <v>10877</v>
      </c>
      <c r="AB769" t="s">
        <v>10878</v>
      </c>
      <c r="AC769" t="s">
        <v>10879</v>
      </c>
      <c r="AD769" t="s">
        <v>10880</v>
      </c>
      <c r="AE769" t="s">
        <v>74</v>
      </c>
      <c r="AF769" t="s">
        <v>74</v>
      </c>
      <c r="AG769">
        <v>99</v>
      </c>
      <c r="AH769">
        <v>31</v>
      </c>
      <c r="AI769">
        <v>31</v>
      </c>
      <c r="AJ769">
        <v>0</v>
      </c>
      <c r="AK769">
        <v>11</v>
      </c>
      <c r="AL769" t="s">
        <v>3996</v>
      </c>
      <c r="AM769" t="s">
        <v>251</v>
      </c>
      <c r="AN769" t="s">
        <v>252</v>
      </c>
      <c r="AO769" t="s">
        <v>10881</v>
      </c>
      <c r="AP769" t="s">
        <v>10882</v>
      </c>
      <c r="AQ769" t="s">
        <v>74</v>
      </c>
      <c r="AR769" t="s">
        <v>10883</v>
      </c>
      <c r="AS769" t="s">
        <v>10884</v>
      </c>
      <c r="AT769" t="s">
        <v>10390</v>
      </c>
      <c r="AU769">
        <v>2003</v>
      </c>
      <c r="AV769">
        <v>255</v>
      </c>
      <c r="AW769">
        <v>3</v>
      </c>
      <c r="AX769" t="s">
        <v>74</v>
      </c>
      <c r="AY769" t="s">
        <v>74</v>
      </c>
      <c r="AZ769" t="s">
        <v>74</v>
      </c>
      <c r="BA769" t="s">
        <v>74</v>
      </c>
      <c r="BB769">
        <v>358</v>
      </c>
      <c r="BC769">
        <v>377</v>
      </c>
      <c r="BD769" t="s">
        <v>74</v>
      </c>
      <c r="BE769" t="s">
        <v>10885</v>
      </c>
      <c r="BF769" t="str">
        <f>HYPERLINK("http://dx.doi.org/10.1002/jmor.10068","http://dx.doi.org/10.1002/jmor.10068")</f>
        <v>http://dx.doi.org/10.1002/jmor.10068</v>
      </c>
      <c r="BG769" t="s">
        <v>74</v>
      </c>
      <c r="BH769" t="s">
        <v>74</v>
      </c>
      <c r="BI769">
        <v>20</v>
      </c>
      <c r="BJ769" t="s">
        <v>10886</v>
      </c>
      <c r="BK769" t="s">
        <v>94</v>
      </c>
      <c r="BL769" t="s">
        <v>10886</v>
      </c>
      <c r="BM769" t="s">
        <v>10887</v>
      </c>
      <c r="BN769">
        <v>12520553</v>
      </c>
      <c r="BO769" t="s">
        <v>74</v>
      </c>
      <c r="BP769" t="s">
        <v>74</v>
      </c>
      <c r="BQ769" t="s">
        <v>74</v>
      </c>
      <c r="BR769" t="s">
        <v>97</v>
      </c>
      <c r="BS769" t="s">
        <v>10888</v>
      </c>
      <c r="BT769" t="str">
        <f>HYPERLINK("https%3A%2F%2Fwww.webofscience.com%2Fwos%2Fwoscc%2Ffull-record%2FWOS:000180944700008","View Full Record in Web of Science")</f>
        <v>View Full Record in Web of Science</v>
      </c>
    </row>
    <row r="770" spans="1:72" x14ac:dyDescent="0.15">
      <c r="A770" t="s">
        <v>72</v>
      </c>
      <c r="B770" t="s">
        <v>10889</v>
      </c>
      <c r="C770" t="s">
        <v>74</v>
      </c>
      <c r="D770" t="s">
        <v>74</v>
      </c>
      <c r="E770" t="s">
        <v>74</v>
      </c>
      <c r="F770" t="s">
        <v>10889</v>
      </c>
      <c r="G770" t="s">
        <v>74</v>
      </c>
      <c r="H770" t="s">
        <v>74</v>
      </c>
      <c r="I770" t="s">
        <v>10890</v>
      </c>
      <c r="J770" t="s">
        <v>6740</v>
      </c>
      <c r="K770" t="s">
        <v>74</v>
      </c>
      <c r="L770" t="s">
        <v>74</v>
      </c>
      <c r="M770" t="s">
        <v>77</v>
      </c>
      <c r="N770" t="s">
        <v>78</v>
      </c>
      <c r="O770" t="s">
        <v>74</v>
      </c>
      <c r="P770" t="s">
        <v>74</v>
      </c>
      <c r="Q770" t="s">
        <v>74</v>
      </c>
      <c r="R770" t="s">
        <v>74</v>
      </c>
      <c r="S770" t="s">
        <v>74</v>
      </c>
      <c r="T770" t="s">
        <v>74</v>
      </c>
      <c r="U770" t="s">
        <v>10891</v>
      </c>
      <c r="V770" t="s">
        <v>10892</v>
      </c>
      <c r="W770" t="s">
        <v>10893</v>
      </c>
      <c r="X770" t="s">
        <v>10894</v>
      </c>
      <c r="Y770" t="s">
        <v>10895</v>
      </c>
      <c r="Z770" t="s">
        <v>10896</v>
      </c>
      <c r="AA770" t="s">
        <v>10897</v>
      </c>
      <c r="AB770" t="s">
        <v>74</v>
      </c>
      <c r="AC770" t="s">
        <v>74</v>
      </c>
      <c r="AD770" t="s">
        <v>74</v>
      </c>
      <c r="AE770" t="s">
        <v>74</v>
      </c>
      <c r="AF770" t="s">
        <v>74</v>
      </c>
      <c r="AG770">
        <v>27</v>
      </c>
      <c r="AH770">
        <v>28</v>
      </c>
      <c r="AI770">
        <v>31</v>
      </c>
      <c r="AJ770">
        <v>0</v>
      </c>
      <c r="AK770">
        <v>14</v>
      </c>
      <c r="AL770" t="s">
        <v>4346</v>
      </c>
      <c r="AM770" t="s">
        <v>540</v>
      </c>
      <c r="AN770" t="s">
        <v>4347</v>
      </c>
      <c r="AO770" t="s">
        <v>6746</v>
      </c>
      <c r="AP770" t="s">
        <v>6747</v>
      </c>
      <c r="AQ770" t="s">
        <v>74</v>
      </c>
      <c r="AR770" t="s">
        <v>6748</v>
      </c>
      <c r="AS770" t="s">
        <v>6749</v>
      </c>
      <c r="AT770" t="s">
        <v>10390</v>
      </c>
      <c r="AU770">
        <v>2003</v>
      </c>
      <c r="AV770">
        <v>66</v>
      </c>
      <c r="AW770">
        <v>3</v>
      </c>
      <c r="AX770" t="s">
        <v>74</v>
      </c>
      <c r="AY770" t="s">
        <v>74</v>
      </c>
      <c r="AZ770" t="s">
        <v>74</v>
      </c>
      <c r="BA770" t="s">
        <v>74</v>
      </c>
      <c r="BB770">
        <v>384</v>
      </c>
      <c r="BC770">
        <v>391</v>
      </c>
      <c r="BD770" t="s">
        <v>74</v>
      </c>
      <c r="BE770" t="s">
        <v>10898</v>
      </c>
      <c r="BF770" t="str">
        <f>HYPERLINK("http://dx.doi.org/10.1021/np020507i","http://dx.doi.org/10.1021/np020507i")</f>
        <v>http://dx.doi.org/10.1021/np020507i</v>
      </c>
      <c r="BG770" t="s">
        <v>74</v>
      </c>
      <c r="BH770" t="s">
        <v>74</v>
      </c>
      <c r="BI770">
        <v>8</v>
      </c>
      <c r="BJ770" t="s">
        <v>6751</v>
      </c>
      <c r="BK770" t="s">
        <v>3339</v>
      </c>
      <c r="BL770" t="s">
        <v>6752</v>
      </c>
      <c r="BM770" t="s">
        <v>10899</v>
      </c>
      <c r="BN770">
        <v>12662097</v>
      </c>
      <c r="BO770" t="s">
        <v>74</v>
      </c>
      <c r="BP770" t="s">
        <v>74</v>
      </c>
      <c r="BQ770" t="s">
        <v>74</v>
      </c>
      <c r="BR770" t="s">
        <v>97</v>
      </c>
      <c r="BS770" t="s">
        <v>10900</v>
      </c>
      <c r="BT770" t="str">
        <f>HYPERLINK("https%3A%2F%2Fwww.webofscience.com%2Fwos%2Fwoscc%2Ffull-record%2FWOS:000181923100012","View Full Record in Web of Science")</f>
        <v>View Full Record in Web of Science</v>
      </c>
    </row>
    <row r="771" spans="1:72" x14ac:dyDescent="0.15">
      <c r="A771" t="s">
        <v>72</v>
      </c>
      <c r="B771" t="s">
        <v>10901</v>
      </c>
      <c r="C771" t="s">
        <v>74</v>
      </c>
      <c r="D771" t="s">
        <v>74</v>
      </c>
      <c r="E771" t="s">
        <v>74</v>
      </c>
      <c r="F771" t="s">
        <v>10901</v>
      </c>
      <c r="G771" t="s">
        <v>74</v>
      </c>
      <c r="H771" t="s">
        <v>74</v>
      </c>
      <c r="I771" t="s">
        <v>10902</v>
      </c>
      <c r="J771" t="s">
        <v>3874</v>
      </c>
      <c r="K771" t="s">
        <v>74</v>
      </c>
      <c r="L771" t="s">
        <v>74</v>
      </c>
      <c r="M771" t="s">
        <v>77</v>
      </c>
      <c r="N771" t="s">
        <v>78</v>
      </c>
      <c r="O771" t="s">
        <v>74</v>
      </c>
      <c r="P771" t="s">
        <v>74</v>
      </c>
      <c r="Q771" t="s">
        <v>74</v>
      </c>
      <c r="R771" t="s">
        <v>74</v>
      </c>
      <c r="S771" t="s">
        <v>74</v>
      </c>
      <c r="T771" t="s">
        <v>74</v>
      </c>
      <c r="U771" t="s">
        <v>10903</v>
      </c>
      <c r="V771" t="s">
        <v>10904</v>
      </c>
      <c r="W771" t="s">
        <v>10905</v>
      </c>
      <c r="X771" t="s">
        <v>8317</v>
      </c>
      <c r="Y771" t="s">
        <v>10906</v>
      </c>
      <c r="Z771" t="s">
        <v>10907</v>
      </c>
      <c r="AA771" t="s">
        <v>74</v>
      </c>
      <c r="AB771" t="s">
        <v>74</v>
      </c>
      <c r="AC771" t="s">
        <v>74</v>
      </c>
      <c r="AD771" t="s">
        <v>74</v>
      </c>
      <c r="AE771" t="s">
        <v>74</v>
      </c>
      <c r="AF771" t="s">
        <v>74</v>
      </c>
      <c r="AG771">
        <v>33</v>
      </c>
      <c r="AH771">
        <v>6</v>
      </c>
      <c r="AI771">
        <v>6</v>
      </c>
      <c r="AJ771">
        <v>0</v>
      </c>
      <c r="AK771">
        <v>1</v>
      </c>
      <c r="AL771" t="s">
        <v>85</v>
      </c>
      <c r="AM771" t="s">
        <v>86</v>
      </c>
      <c r="AN771" t="s">
        <v>87</v>
      </c>
      <c r="AO771" t="s">
        <v>3878</v>
      </c>
      <c r="AP771" t="s">
        <v>5259</v>
      </c>
      <c r="AQ771" t="s">
        <v>74</v>
      </c>
      <c r="AR771" t="s">
        <v>3879</v>
      </c>
      <c r="AS771" t="s">
        <v>3880</v>
      </c>
      <c r="AT771" t="s">
        <v>10390</v>
      </c>
      <c r="AU771">
        <v>2003</v>
      </c>
      <c r="AV771">
        <v>33</v>
      </c>
      <c r="AW771">
        <v>3</v>
      </c>
      <c r="AX771" t="s">
        <v>74</v>
      </c>
      <c r="AY771" t="s">
        <v>74</v>
      </c>
      <c r="AZ771" t="s">
        <v>74</v>
      </c>
      <c r="BA771" t="s">
        <v>74</v>
      </c>
      <c r="BB771">
        <v>499</v>
      </c>
      <c r="BC771">
        <v>511</v>
      </c>
      <c r="BD771" t="s">
        <v>74</v>
      </c>
      <c r="BE771" t="s">
        <v>10908</v>
      </c>
      <c r="BF771" t="str">
        <f>HYPERLINK("http://dx.doi.org/10.1175/1520-0485(2003)033&lt;0499:ANSOAN&gt;2.0.CO;2","http://dx.doi.org/10.1175/1520-0485(2003)033&lt;0499:ANSOAN&gt;2.0.CO;2")</f>
        <v>http://dx.doi.org/10.1175/1520-0485(2003)033&lt;0499:ANSOAN&gt;2.0.CO;2</v>
      </c>
      <c r="BG771" t="s">
        <v>74</v>
      </c>
      <c r="BH771" t="s">
        <v>74</v>
      </c>
      <c r="BI771">
        <v>13</v>
      </c>
      <c r="BJ771" t="s">
        <v>678</v>
      </c>
      <c r="BK771" t="s">
        <v>94</v>
      </c>
      <c r="BL771" t="s">
        <v>678</v>
      </c>
      <c r="BM771" t="s">
        <v>10909</v>
      </c>
      <c r="BN771" t="s">
        <v>74</v>
      </c>
      <c r="BO771" t="s">
        <v>759</v>
      </c>
      <c r="BP771" t="s">
        <v>74</v>
      </c>
      <c r="BQ771" t="s">
        <v>74</v>
      </c>
      <c r="BR771" t="s">
        <v>97</v>
      </c>
      <c r="BS771" t="s">
        <v>10910</v>
      </c>
      <c r="BT771" t="str">
        <f>HYPERLINK("https%3A%2F%2Fwww.webofscience.com%2Fwos%2Fwoscc%2Ffull-record%2FWOS:000181092900002","View Full Record in Web of Science")</f>
        <v>View Full Record in Web of Science</v>
      </c>
    </row>
    <row r="772" spans="1:72" x14ac:dyDescent="0.15">
      <c r="A772" t="s">
        <v>72</v>
      </c>
      <c r="B772" t="s">
        <v>10911</v>
      </c>
      <c r="C772" t="s">
        <v>74</v>
      </c>
      <c r="D772" t="s">
        <v>74</v>
      </c>
      <c r="E772" t="s">
        <v>74</v>
      </c>
      <c r="F772" t="s">
        <v>10911</v>
      </c>
      <c r="G772" t="s">
        <v>74</v>
      </c>
      <c r="H772" t="s">
        <v>74</v>
      </c>
      <c r="I772" t="s">
        <v>10912</v>
      </c>
      <c r="J772" t="s">
        <v>3874</v>
      </c>
      <c r="K772" t="s">
        <v>74</v>
      </c>
      <c r="L772" t="s">
        <v>74</v>
      </c>
      <c r="M772" t="s">
        <v>77</v>
      </c>
      <c r="N772" t="s">
        <v>78</v>
      </c>
      <c r="O772" t="s">
        <v>74</v>
      </c>
      <c r="P772" t="s">
        <v>74</v>
      </c>
      <c r="Q772" t="s">
        <v>74</v>
      </c>
      <c r="R772" t="s">
        <v>74</v>
      </c>
      <c r="S772" t="s">
        <v>74</v>
      </c>
      <c r="T772" t="s">
        <v>74</v>
      </c>
      <c r="U772" t="s">
        <v>10913</v>
      </c>
      <c r="V772" t="s">
        <v>10914</v>
      </c>
      <c r="W772" t="s">
        <v>81</v>
      </c>
      <c r="X772" t="s">
        <v>82</v>
      </c>
      <c r="Y772" t="s">
        <v>10915</v>
      </c>
      <c r="Z772" t="s">
        <v>10916</v>
      </c>
      <c r="AA772" t="s">
        <v>74</v>
      </c>
      <c r="AB772" t="s">
        <v>84</v>
      </c>
      <c r="AC772" t="s">
        <v>74</v>
      </c>
      <c r="AD772" t="s">
        <v>74</v>
      </c>
      <c r="AE772" t="s">
        <v>74</v>
      </c>
      <c r="AF772" t="s">
        <v>74</v>
      </c>
      <c r="AG772">
        <v>60</v>
      </c>
      <c r="AH772">
        <v>277</v>
      </c>
      <c r="AI772">
        <v>304</v>
      </c>
      <c r="AJ772">
        <v>2</v>
      </c>
      <c r="AK772">
        <v>60</v>
      </c>
      <c r="AL772" t="s">
        <v>85</v>
      </c>
      <c r="AM772" t="s">
        <v>86</v>
      </c>
      <c r="AN772" t="s">
        <v>87</v>
      </c>
      <c r="AO772" t="s">
        <v>3878</v>
      </c>
      <c r="AP772" t="s">
        <v>5259</v>
      </c>
      <c r="AQ772" t="s">
        <v>74</v>
      </c>
      <c r="AR772" t="s">
        <v>3879</v>
      </c>
      <c r="AS772" t="s">
        <v>3880</v>
      </c>
      <c r="AT772" t="s">
        <v>10390</v>
      </c>
      <c r="AU772">
        <v>2003</v>
      </c>
      <c r="AV772">
        <v>33</v>
      </c>
      <c r="AW772">
        <v>3</v>
      </c>
      <c r="AX772" t="s">
        <v>74</v>
      </c>
      <c r="AY772" t="s">
        <v>74</v>
      </c>
      <c r="AZ772" t="s">
        <v>74</v>
      </c>
      <c r="BA772" t="s">
        <v>74</v>
      </c>
      <c r="BB772">
        <v>530</v>
      </c>
      <c r="BC772">
        <v>560</v>
      </c>
      <c r="BD772" t="s">
        <v>74</v>
      </c>
      <c r="BE772" t="s">
        <v>10917</v>
      </c>
      <c r="BF772" t="str">
        <f>HYPERLINK("http://dx.doi.org/10.1175/1520-0485(2003)033&lt;0530:SIADOC&gt;2.0.CO;2","http://dx.doi.org/10.1175/1520-0485(2003)033&lt;0530:SIADOC&gt;2.0.CO;2")</f>
        <v>http://dx.doi.org/10.1175/1520-0485(2003)033&lt;0530:SIADOC&gt;2.0.CO;2</v>
      </c>
      <c r="BG772" t="s">
        <v>74</v>
      </c>
      <c r="BH772" t="s">
        <v>74</v>
      </c>
      <c r="BI772">
        <v>31</v>
      </c>
      <c r="BJ772" t="s">
        <v>678</v>
      </c>
      <c r="BK772" t="s">
        <v>94</v>
      </c>
      <c r="BL772" t="s">
        <v>678</v>
      </c>
      <c r="BM772" t="s">
        <v>10909</v>
      </c>
      <c r="BN772" t="s">
        <v>74</v>
      </c>
      <c r="BO772" t="s">
        <v>96</v>
      </c>
      <c r="BP772" t="s">
        <v>74</v>
      </c>
      <c r="BQ772" t="s">
        <v>74</v>
      </c>
      <c r="BR772" t="s">
        <v>97</v>
      </c>
      <c r="BS772" t="s">
        <v>10918</v>
      </c>
      <c r="BT772" t="str">
        <f>HYPERLINK("https%3A%2F%2Fwww.webofscience.com%2Fwos%2Fwoscc%2Ffull-record%2FWOS:000181092900004","View Full Record in Web of Science")</f>
        <v>View Full Record in Web of Science</v>
      </c>
    </row>
    <row r="773" spans="1:72" x14ac:dyDescent="0.15">
      <c r="A773" t="s">
        <v>72</v>
      </c>
      <c r="B773" t="s">
        <v>10919</v>
      </c>
      <c r="C773" t="s">
        <v>74</v>
      </c>
      <c r="D773" t="s">
        <v>74</v>
      </c>
      <c r="E773" t="s">
        <v>74</v>
      </c>
      <c r="F773" t="s">
        <v>10919</v>
      </c>
      <c r="G773" t="s">
        <v>74</v>
      </c>
      <c r="H773" t="s">
        <v>74</v>
      </c>
      <c r="I773" t="s">
        <v>10920</v>
      </c>
      <c r="J773" t="s">
        <v>10921</v>
      </c>
      <c r="K773" t="s">
        <v>74</v>
      </c>
      <c r="L773" t="s">
        <v>74</v>
      </c>
      <c r="M773" t="s">
        <v>77</v>
      </c>
      <c r="N773" t="s">
        <v>78</v>
      </c>
      <c r="O773" t="s">
        <v>74</v>
      </c>
      <c r="P773" t="s">
        <v>74</v>
      </c>
      <c r="Q773" t="s">
        <v>74</v>
      </c>
      <c r="R773" t="s">
        <v>74</v>
      </c>
      <c r="S773" t="s">
        <v>74</v>
      </c>
      <c r="T773" t="s">
        <v>10922</v>
      </c>
      <c r="U773" t="s">
        <v>10923</v>
      </c>
      <c r="V773" t="s">
        <v>10924</v>
      </c>
      <c r="W773" t="s">
        <v>10925</v>
      </c>
      <c r="X773" t="s">
        <v>10926</v>
      </c>
      <c r="Y773" t="s">
        <v>8901</v>
      </c>
      <c r="Z773" t="s">
        <v>10927</v>
      </c>
      <c r="AA773" t="s">
        <v>74</v>
      </c>
      <c r="AB773" t="s">
        <v>74</v>
      </c>
      <c r="AC773" t="s">
        <v>74</v>
      </c>
      <c r="AD773" t="s">
        <v>74</v>
      </c>
      <c r="AE773" t="s">
        <v>74</v>
      </c>
      <c r="AF773" t="s">
        <v>74</v>
      </c>
      <c r="AG773">
        <v>32</v>
      </c>
      <c r="AH773">
        <v>34</v>
      </c>
      <c r="AI773">
        <v>37</v>
      </c>
      <c r="AJ773">
        <v>0</v>
      </c>
      <c r="AK773">
        <v>2</v>
      </c>
      <c r="AL773" t="s">
        <v>250</v>
      </c>
      <c r="AM773" t="s">
        <v>251</v>
      </c>
      <c r="AN773" t="s">
        <v>252</v>
      </c>
      <c r="AO773" t="s">
        <v>10928</v>
      </c>
      <c r="AP773" t="s">
        <v>10929</v>
      </c>
      <c r="AQ773" t="s">
        <v>74</v>
      </c>
      <c r="AR773" t="s">
        <v>10930</v>
      </c>
      <c r="AS773" t="s">
        <v>10931</v>
      </c>
      <c r="AT773" t="s">
        <v>10390</v>
      </c>
      <c r="AU773">
        <v>2003</v>
      </c>
      <c r="AV773">
        <v>12</v>
      </c>
      <c r="AW773">
        <v>1</v>
      </c>
      <c r="AX773" t="s">
        <v>74</v>
      </c>
      <c r="AY773" t="s">
        <v>74</v>
      </c>
      <c r="AZ773" t="s">
        <v>74</v>
      </c>
      <c r="BA773" t="s">
        <v>74</v>
      </c>
      <c r="BB773">
        <v>53</v>
      </c>
      <c r="BC773">
        <v>61</v>
      </c>
      <c r="BD773" t="s">
        <v>74</v>
      </c>
      <c r="BE773" t="s">
        <v>10932</v>
      </c>
      <c r="BF773" t="str">
        <f>HYPERLINK("http://dx.doi.org/10.1046/j.1365-2869.2003.00330.x","http://dx.doi.org/10.1046/j.1365-2869.2003.00330.x")</f>
        <v>http://dx.doi.org/10.1046/j.1365-2869.2003.00330.x</v>
      </c>
      <c r="BG773" t="s">
        <v>74</v>
      </c>
      <c r="BH773" t="s">
        <v>74</v>
      </c>
      <c r="BI773">
        <v>9</v>
      </c>
      <c r="BJ773" t="s">
        <v>10933</v>
      </c>
      <c r="BK773" t="s">
        <v>94</v>
      </c>
      <c r="BL773" t="s">
        <v>10934</v>
      </c>
      <c r="BM773" t="s">
        <v>10935</v>
      </c>
      <c r="BN773">
        <v>12603787</v>
      </c>
      <c r="BO773" t="s">
        <v>74</v>
      </c>
      <c r="BP773" t="s">
        <v>74</v>
      </c>
      <c r="BQ773" t="s">
        <v>74</v>
      </c>
      <c r="BR773" t="s">
        <v>97</v>
      </c>
      <c r="BS773" t="s">
        <v>10936</v>
      </c>
      <c r="BT773" t="str">
        <f>HYPERLINK("https%3A%2F%2Fwww.webofscience.com%2Fwos%2Fwoscc%2Ffull-record%2FWOS:000181108800007","View Full Record in Web of Science")</f>
        <v>View Full Record in Web of Science</v>
      </c>
    </row>
    <row r="774" spans="1:72" x14ac:dyDescent="0.15">
      <c r="A774" t="s">
        <v>72</v>
      </c>
      <c r="B774" t="s">
        <v>10937</v>
      </c>
      <c r="C774" t="s">
        <v>74</v>
      </c>
      <c r="D774" t="s">
        <v>74</v>
      </c>
      <c r="E774" t="s">
        <v>74</v>
      </c>
      <c r="F774" t="s">
        <v>10937</v>
      </c>
      <c r="G774" t="s">
        <v>74</v>
      </c>
      <c r="H774" t="s">
        <v>74</v>
      </c>
      <c r="I774" t="s">
        <v>10938</v>
      </c>
      <c r="J774" t="s">
        <v>3897</v>
      </c>
      <c r="K774" t="s">
        <v>74</v>
      </c>
      <c r="L774" t="s">
        <v>74</v>
      </c>
      <c r="M774" t="s">
        <v>77</v>
      </c>
      <c r="N774" t="s">
        <v>78</v>
      </c>
      <c r="O774" t="s">
        <v>74</v>
      </c>
      <c r="P774" t="s">
        <v>74</v>
      </c>
      <c r="Q774" t="s">
        <v>74</v>
      </c>
      <c r="R774" t="s">
        <v>74</v>
      </c>
      <c r="S774" t="s">
        <v>74</v>
      </c>
      <c r="T774" t="s">
        <v>10939</v>
      </c>
      <c r="U774" t="s">
        <v>10940</v>
      </c>
      <c r="V774" t="s">
        <v>10941</v>
      </c>
      <c r="W774" t="s">
        <v>10942</v>
      </c>
      <c r="X774" t="s">
        <v>10943</v>
      </c>
      <c r="Y774" t="s">
        <v>10944</v>
      </c>
      <c r="Z774" t="s">
        <v>10945</v>
      </c>
      <c r="AA774" t="s">
        <v>74</v>
      </c>
      <c r="AB774" t="s">
        <v>74</v>
      </c>
      <c r="AC774" t="s">
        <v>74</v>
      </c>
      <c r="AD774" t="s">
        <v>74</v>
      </c>
      <c r="AE774" t="s">
        <v>74</v>
      </c>
      <c r="AF774" t="s">
        <v>74</v>
      </c>
      <c r="AG774">
        <v>26</v>
      </c>
      <c r="AH774">
        <v>10</v>
      </c>
      <c r="AI774">
        <v>13</v>
      </c>
      <c r="AJ774">
        <v>0</v>
      </c>
      <c r="AK774">
        <v>1</v>
      </c>
      <c r="AL774" t="s">
        <v>169</v>
      </c>
      <c r="AM774" t="s">
        <v>170</v>
      </c>
      <c r="AN774" t="s">
        <v>171</v>
      </c>
      <c r="AO774" t="s">
        <v>3906</v>
      </c>
      <c r="AP774" t="s">
        <v>10946</v>
      </c>
      <c r="AQ774" t="s">
        <v>74</v>
      </c>
      <c r="AR774" t="s">
        <v>3907</v>
      </c>
      <c r="AS774" t="s">
        <v>3908</v>
      </c>
      <c r="AT774" t="s">
        <v>10390</v>
      </c>
      <c r="AU774">
        <v>2003</v>
      </c>
      <c r="AV774">
        <v>15</v>
      </c>
      <c r="AW774">
        <v>8</v>
      </c>
      <c r="AX774" t="s">
        <v>74</v>
      </c>
      <c r="AY774" t="s">
        <v>74</v>
      </c>
      <c r="AZ774" t="s">
        <v>74</v>
      </c>
      <c r="BA774" t="s">
        <v>74</v>
      </c>
      <c r="BB774">
        <v>925</v>
      </c>
      <c r="BC774">
        <v>934</v>
      </c>
      <c r="BD774" t="s">
        <v>10947</v>
      </c>
      <c r="BE774" t="s">
        <v>10948</v>
      </c>
      <c r="BF774" t="str">
        <f>HYPERLINK("http://dx.doi.org/10.1016/S0895-9811(02)00146-3","http://dx.doi.org/10.1016/S0895-9811(02)00146-3")</f>
        <v>http://dx.doi.org/10.1016/S0895-9811(02)00146-3</v>
      </c>
      <c r="BG774" t="s">
        <v>74</v>
      </c>
      <c r="BH774" t="s">
        <v>74</v>
      </c>
      <c r="BI774">
        <v>10</v>
      </c>
      <c r="BJ774" t="s">
        <v>548</v>
      </c>
      <c r="BK774" t="s">
        <v>94</v>
      </c>
      <c r="BL774" t="s">
        <v>549</v>
      </c>
      <c r="BM774" t="s">
        <v>10949</v>
      </c>
      <c r="BN774" t="s">
        <v>74</v>
      </c>
      <c r="BO774" t="s">
        <v>74</v>
      </c>
      <c r="BP774" t="s">
        <v>74</v>
      </c>
      <c r="BQ774" t="s">
        <v>74</v>
      </c>
      <c r="BR774" t="s">
        <v>97</v>
      </c>
      <c r="BS774" t="s">
        <v>10950</v>
      </c>
      <c r="BT774" t="str">
        <f>HYPERLINK("https%3A%2F%2Fwww.webofscience.com%2Fwos%2Fwoscc%2Ffull-record%2FWOS:000183100700008","View Full Record in Web of Science")</f>
        <v>View Full Record in Web of Science</v>
      </c>
    </row>
    <row r="775" spans="1:72" x14ac:dyDescent="0.15">
      <c r="A775" t="s">
        <v>72</v>
      </c>
      <c r="B775" t="s">
        <v>5983</v>
      </c>
      <c r="C775" t="s">
        <v>74</v>
      </c>
      <c r="D775" t="s">
        <v>74</v>
      </c>
      <c r="E775" t="s">
        <v>74</v>
      </c>
      <c r="F775" t="s">
        <v>5983</v>
      </c>
      <c r="G775" t="s">
        <v>74</v>
      </c>
      <c r="H775" t="s">
        <v>74</v>
      </c>
      <c r="I775" t="s">
        <v>10951</v>
      </c>
      <c r="J775" t="s">
        <v>10952</v>
      </c>
      <c r="K775" t="s">
        <v>74</v>
      </c>
      <c r="L775" t="s">
        <v>74</v>
      </c>
      <c r="M775" t="s">
        <v>77</v>
      </c>
      <c r="N775" t="s">
        <v>78</v>
      </c>
      <c r="O775" t="s">
        <v>74</v>
      </c>
      <c r="P775" t="s">
        <v>74</v>
      </c>
      <c r="Q775" t="s">
        <v>74</v>
      </c>
      <c r="R775" t="s">
        <v>74</v>
      </c>
      <c r="S775" t="s">
        <v>74</v>
      </c>
      <c r="T775" t="s">
        <v>10953</v>
      </c>
      <c r="U775" t="s">
        <v>10954</v>
      </c>
      <c r="V775" t="s">
        <v>10955</v>
      </c>
      <c r="W775" t="s">
        <v>10956</v>
      </c>
      <c r="X775" t="s">
        <v>5989</v>
      </c>
      <c r="Y775" t="s">
        <v>9360</v>
      </c>
      <c r="Z775" t="s">
        <v>5991</v>
      </c>
      <c r="AA775" t="s">
        <v>74</v>
      </c>
      <c r="AB775" t="s">
        <v>5992</v>
      </c>
      <c r="AC775" t="s">
        <v>74</v>
      </c>
      <c r="AD775" t="s">
        <v>74</v>
      </c>
      <c r="AE775" t="s">
        <v>74</v>
      </c>
      <c r="AF775" t="s">
        <v>74</v>
      </c>
      <c r="AG775">
        <v>53</v>
      </c>
      <c r="AH775">
        <v>7</v>
      </c>
      <c r="AI775">
        <v>7</v>
      </c>
      <c r="AJ775">
        <v>0</v>
      </c>
      <c r="AK775">
        <v>2</v>
      </c>
      <c r="AL775" t="s">
        <v>1651</v>
      </c>
      <c r="AM775" t="s">
        <v>1652</v>
      </c>
      <c r="AN775" t="s">
        <v>1653</v>
      </c>
      <c r="AO775" t="s">
        <v>10957</v>
      </c>
      <c r="AP775" t="s">
        <v>10958</v>
      </c>
      <c r="AQ775" t="s">
        <v>74</v>
      </c>
      <c r="AR775" t="s">
        <v>10959</v>
      </c>
      <c r="AS775" t="s">
        <v>10960</v>
      </c>
      <c r="AT775" t="s">
        <v>10390</v>
      </c>
      <c r="AU775">
        <v>2003</v>
      </c>
      <c r="AV775">
        <v>33</v>
      </c>
      <c r="AW775">
        <v>1</v>
      </c>
      <c r="AX775" t="s">
        <v>74</v>
      </c>
      <c r="AY775" t="s">
        <v>74</v>
      </c>
      <c r="AZ775" t="s">
        <v>74</v>
      </c>
      <c r="BA775" t="s">
        <v>74</v>
      </c>
      <c r="BB775">
        <v>315</v>
      </c>
      <c r="BC775">
        <v>340</v>
      </c>
      <c r="BD775" t="s">
        <v>74</v>
      </c>
      <c r="BE775" t="s">
        <v>10961</v>
      </c>
      <c r="BF775" t="str">
        <f>HYPERLINK("http://dx.doi.org/10.1080/03014223.2003.9517733","http://dx.doi.org/10.1080/03014223.2003.9517733")</f>
        <v>http://dx.doi.org/10.1080/03014223.2003.9517733</v>
      </c>
      <c r="BG775" t="s">
        <v>74</v>
      </c>
      <c r="BH775" t="s">
        <v>74</v>
      </c>
      <c r="BI775">
        <v>26</v>
      </c>
      <c r="BJ775" t="s">
        <v>971</v>
      </c>
      <c r="BK775" t="s">
        <v>94</v>
      </c>
      <c r="BL775" t="s">
        <v>972</v>
      </c>
      <c r="BM775" t="s">
        <v>10962</v>
      </c>
      <c r="BN775" t="s">
        <v>74</v>
      </c>
      <c r="BO775" t="s">
        <v>74</v>
      </c>
      <c r="BP775" t="s">
        <v>74</v>
      </c>
      <c r="BQ775" t="s">
        <v>74</v>
      </c>
      <c r="BR775" t="s">
        <v>97</v>
      </c>
      <c r="BS775" t="s">
        <v>10963</v>
      </c>
      <c r="BT775" t="str">
        <f>HYPERLINK("https%3A%2F%2Fwww.webofscience.com%2Fwos%2Fwoscc%2Ffull-record%2FWOS:000183313100016","View Full Record in Web of Science")</f>
        <v>View Full Record in Web of Science</v>
      </c>
    </row>
    <row r="776" spans="1:72" x14ac:dyDescent="0.15">
      <c r="A776" t="s">
        <v>72</v>
      </c>
      <c r="B776" t="s">
        <v>10964</v>
      </c>
      <c r="C776" t="s">
        <v>74</v>
      </c>
      <c r="D776" t="s">
        <v>74</v>
      </c>
      <c r="E776" t="s">
        <v>74</v>
      </c>
      <c r="F776" t="s">
        <v>10964</v>
      </c>
      <c r="G776" t="s">
        <v>74</v>
      </c>
      <c r="H776" t="s">
        <v>74</v>
      </c>
      <c r="I776" t="s">
        <v>10965</v>
      </c>
      <c r="J776" t="s">
        <v>10966</v>
      </c>
      <c r="K776" t="s">
        <v>74</v>
      </c>
      <c r="L776" t="s">
        <v>74</v>
      </c>
      <c r="M776" t="s">
        <v>77</v>
      </c>
      <c r="N776" t="s">
        <v>78</v>
      </c>
      <c r="O776" t="s">
        <v>74</v>
      </c>
      <c r="P776" t="s">
        <v>74</v>
      </c>
      <c r="Q776" t="s">
        <v>74</v>
      </c>
      <c r="R776" t="s">
        <v>74</v>
      </c>
      <c r="S776" t="s">
        <v>74</v>
      </c>
      <c r="T776" t="s">
        <v>10967</v>
      </c>
      <c r="U776" t="s">
        <v>10968</v>
      </c>
      <c r="V776" t="s">
        <v>10969</v>
      </c>
      <c r="W776" t="s">
        <v>456</v>
      </c>
      <c r="X776" t="s">
        <v>457</v>
      </c>
      <c r="Y776" t="s">
        <v>10970</v>
      </c>
      <c r="Z776" t="s">
        <v>74</v>
      </c>
      <c r="AA776" t="s">
        <v>74</v>
      </c>
      <c r="AB776" t="s">
        <v>74</v>
      </c>
      <c r="AC776" t="s">
        <v>74</v>
      </c>
      <c r="AD776" t="s">
        <v>74</v>
      </c>
      <c r="AE776" t="s">
        <v>74</v>
      </c>
      <c r="AF776" t="s">
        <v>74</v>
      </c>
      <c r="AG776">
        <v>26</v>
      </c>
      <c r="AH776">
        <v>37</v>
      </c>
      <c r="AI776">
        <v>47</v>
      </c>
      <c r="AJ776">
        <v>2</v>
      </c>
      <c r="AK776">
        <v>7</v>
      </c>
      <c r="AL776" t="s">
        <v>110</v>
      </c>
      <c r="AM776" t="s">
        <v>111</v>
      </c>
      <c r="AN776" t="s">
        <v>112</v>
      </c>
      <c r="AO776" t="s">
        <v>10971</v>
      </c>
      <c r="AP776" t="s">
        <v>74</v>
      </c>
      <c r="AQ776" t="s">
        <v>74</v>
      </c>
      <c r="AR776" t="s">
        <v>10972</v>
      </c>
      <c r="AS776" t="s">
        <v>10973</v>
      </c>
      <c r="AT776" t="s">
        <v>10390</v>
      </c>
      <c r="AU776">
        <v>2003</v>
      </c>
      <c r="AV776">
        <v>91</v>
      </c>
      <c r="AW776">
        <v>4</v>
      </c>
      <c r="AX776" t="s">
        <v>74</v>
      </c>
      <c r="AY776" t="s">
        <v>74</v>
      </c>
      <c r="AZ776" t="s">
        <v>74</v>
      </c>
      <c r="BA776" t="s">
        <v>74</v>
      </c>
      <c r="BB776">
        <v>551</v>
      </c>
      <c r="BC776">
        <v>569</v>
      </c>
      <c r="BD776" t="s">
        <v>10974</v>
      </c>
      <c r="BE776" t="s">
        <v>10975</v>
      </c>
      <c r="BF776" t="str">
        <f>HYPERLINK("http://dx.doi.org/10.1016/S0167-6105(02)00409-9","http://dx.doi.org/10.1016/S0167-6105(02)00409-9")</f>
        <v>http://dx.doi.org/10.1016/S0167-6105(02)00409-9</v>
      </c>
      <c r="BG776" t="s">
        <v>74</v>
      </c>
      <c r="BH776" t="s">
        <v>74</v>
      </c>
      <c r="BI776">
        <v>19</v>
      </c>
      <c r="BJ776" t="s">
        <v>10976</v>
      </c>
      <c r="BK776" t="s">
        <v>94</v>
      </c>
      <c r="BL776" t="s">
        <v>10977</v>
      </c>
      <c r="BM776" t="s">
        <v>10978</v>
      </c>
      <c r="BN776" t="s">
        <v>74</v>
      </c>
      <c r="BO776" t="s">
        <v>74</v>
      </c>
      <c r="BP776" t="s">
        <v>74</v>
      </c>
      <c r="BQ776" t="s">
        <v>74</v>
      </c>
      <c r="BR776" t="s">
        <v>97</v>
      </c>
      <c r="BS776" t="s">
        <v>10979</v>
      </c>
      <c r="BT776" t="str">
        <f>HYPERLINK("https%3A%2F%2Fwww.webofscience.com%2Fwos%2Fwoscc%2Ffull-record%2FWOS:000181000400007","View Full Record in Web of Science")</f>
        <v>View Full Record in Web of Science</v>
      </c>
    </row>
    <row r="777" spans="1:72" x14ac:dyDescent="0.15">
      <c r="A777" t="s">
        <v>72</v>
      </c>
      <c r="B777" t="s">
        <v>10980</v>
      </c>
      <c r="C777" t="s">
        <v>74</v>
      </c>
      <c r="D777" t="s">
        <v>74</v>
      </c>
      <c r="E777" t="s">
        <v>74</v>
      </c>
      <c r="F777" t="s">
        <v>10980</v>
      </c>
      <c r="G777" t="s">
        <v>74</v>
      </c>
      <c r="H777" t="s">
        <v>74</v>
      </c>
      <c r="I777" t="s">
        <v>10981</v>
      </c>
      <c r="J777" t="s">
        <v>10982</v>
      </c>
      <c r="K777" t="s">
        <v>74</v>
      </c>
      <c r="L777" t="s">
        <v>74</v>
      </c>
      <c r="M777" t="s">
        <v>77</v>
      </c>
      <c r="N777" t="s">
        <v>556</v>
      </c>
      <c r="O777" t="s">
        <v>74</v>
      </c>
      <c r="P777" t="s">
        <v>74</v>
      </c>
      <c r="Q777" t="s">
        <v>74</v>
      </c>
      <c r="R777" t="s">
        <v>74</v>
      </c>
      <c r="S777" t="s">
        <v>74</v>
      </c>
      <c r="T777" t="s">
        <v>10983</v>
      </c>
      <c r="U777" t="s">
        <v>10984</v>
      </c>
      <c r="V777" t="s">
        <v>10985</v>
      </c>
      <c r="W777" t="s">
        <v>10986</v>
      </c>
      <c r="X777" t="s">
        <v>10987</v>
      </c>
      <c r="Y777" t="s">
        <v>10988</v>
      </c>
      <c r="Z777" t="s">
        <v>10989</v>
      </c>
      <c r="AA777" t="s">
        <v>10990</v>
      </c>
      <c r="AB777" t="s">
        <v>10991</v>
      </c>
      <c r="AC777" t="s">
        <v>74</v>
      </c>
      <c r="AD777" t="s">
        <v>74</v>
      </c>
      <c r="AE777" t="s">
        <v>74</v>
      </c>
      <c r="AF777" t="s">
        <v>74</v>
      </c>
      <c r="AG777">
        <v>132</v>
      </c>
      <c r="AH777">
        <v>266</v>
      </c>
      <c r="AI777">
        <v>317</v>
      </c>
      <c r="AJ777">
        <v>0</v>
      </c>
      <c r="AK777">
        <v>84</v>
      </c>
      <c r="AL777" t="s">
        <v>250</v>
      </c>
      <c r="AM777" t="s">
        <v>251</v>
      </c>
      <c r="AN777" t="s">
        <v>252</v>
      </c>
      <c r="AO777" t="s">
        <v>10992</v>
      </c>
      <c r="AP777" t="s">
        <v>10993</v>
      </c>
      <c r="AQ777" t="s">
        <v>74</v>
      </c>
      <c r="AR777" t="s">
        <v>10994</v>
      </c>
      <c r="AS777" t="s">
        <v>10995</v>
      </c>
      <c r="AT777" t="s">
        <v>10390</v>
      </c>
      <c r="AU777">
        <v>2003</v>
      </c>
      <c r="AV777">
        <v>33</v>
      </c>
      <c r="AW777">
        <v>1</v>
      </c>
      <c r="AX777" t="s">
        <v>74</v>
      </c>
      <c r="AY777" t="s">
        <v>74</v>
      </c>
      <c r="AZ777" t="s">
        <v>74</v>
      </c>
      <c r="BA777" t="s">
        <v>74</v>
      </c>
      <c r="BB777">
        <v>3</v>
      </c>
      <c r="BC777">
        <v>28</v>
      </c>
      <c r="BD777" t="s">
        <v>74</v>
      </c>
      <c r="BE777" t="s">
        <v>10996</v>
      </c>
      <c r="BF777" t="str">
        <f>HYPERLINK("http://dx.doi.org/10.1046/j.1365-2907.2003.00009.x","http://dx.doi.org/10.1046/j.1365-2907.2003.00009.x")</f>
        <v>http://dx.doi.org/10.1046/j.1365-2907.2003.00009.x</v>
      </c>
      <c r="BG777" t="s">
        <v>74</v>
      </c>
      <c r="BH777" t="s">
        <v>74</v>
      </c>
      <c r="BI777">
        <v>26</v>
      </c>
      <c r="BJ777" t="s">
        <v>1978</v>
      </c>
      <c r="BK777" t="s">
        <v>94</v>
      </c>
      <c r="BL777" t="s">
        <v>1979</v>
      </c>
      <c r="BM777" t="s">
        <v>10997</v>
      </c>
      <c r="BN777" t="s">
        <v>74</v>
      </c>
      <c r="BO777" t="s">
        <v>74</v>
      </c>
      <c r="BP777" t="s">
        <v>74</v>
      </c>
      <c r="BQ777" t="s">
        <v>74</v>
      </c>
      <c r="BR777" t="s">
        <v>97</v>
      </c>
      <c r="BS777" t="s">
        <v>10998</v>
      </c>
      <c r="BT777" t="str">
        <f>HYPERLINK("https%3A%2F%2Fwww.webofscience.com%2Fwos%2Fwoscc%2Ffull-record%2FWOS:000181740500002","View Full Record in Web of Science")</f>
        <v>View Full Record in Web of Science</v>
      </c>
    </row>
    <row r="778" spans="1:72" x14ac:dyDescent="0.15">
      <c r="A778" t="s">
        <v>72</v>
      </c>
      <c r="B778" t="s">
        <v>10999</v>
      </c>
      <c r="C778" t="s">
        <v>74</v>
      </c>
      <c r="D778" t="s">
        <v>74</v>
      </c>
      <c r="E778" t="s">
        <v>74</v>
      </c>
      <c r="F778" t="s">
        <v>10999</v>
      </c>
      <c r="G778" t="s">
        <v>74</v>
      </c>
      <c r="H778" t="s">
        <v>74</v>
      </c>
      <c r="I778" t="s">
        <v>11000</v>
      </c>
      <c r="J778" t="s">
        <v>2177</v>
      </c>
      <c r="K778" t="s">
        <v>74</v>
      </c>
      <c r="L778" t="s">
        <v>74</v>
      </c>
      <c r="M778" t="s">
        <v>77</v>
      </c>
      <c r="N778" t="s">
        <v>78</v>
      </c>
      <c r="O778" t="s">
        <v>74</v>
      </c>
      <c r="P778" t="s">
        <v>74</v>
      </c>
      <c r="Q778" t="s">
        <v>74</v>
      </c>
      <c r="R778" t="s">
        <v>74</v>
      </c>
      <c r="S778" t="s">
        <v>74</v>
      </c>
      <c r="T778" t="s">
        <v>74</v>
      </c>
      <c r="U778" t="s">
        <v>11001</v>
      </c>
      <c r="V778" t="s">
        <v>11002</v>
      </c>
      <c r="W778" t="s">
        <v>11003</v>
      </c>
      <c r="X778" t="s">
        <v>11004</v>
      </c>
      <c r="Y778" t="s">
        <v>11005</v>
      </c>
      <c r="Z778" t="s">
        <v>74</v>
      </c>
      <c r="AA778" t="s">
        <v>74</v>
      </c>
      <c r="AB778" t="s">
        <v>11006</v>
      </c>
      <c r="AC778" t="s">
        <v>74</v>
      </c>
      <c r="AD778" t="s">
        <v>74</v>
      </c>
      <c r="AE778" t="s">
        <v>74</v>
      </c>
      <c r="AF778" t="s">
        <v>74</v>
      </c>
      <c r="AG778">
        <v>45</v>
      </c>
      <c r="AH778">
        <v>2</v>
      </c>
      <c r="AI778">
        <v>2</v>
      </c>
      <c r="AJ778">
        <v>0</v>
      </c>
      <c r="AK778">
        <v>8</v>
      </c>
      <c r="AL778" t="s">
        <v>342</v>
      </c>
      <c r="AM778" t="s">
        <v>229</v>
      </c>
      <c r="AN778" t="s">
        <v>343</v>
      </c>
      <c r="AO778" t="s">
        <v>2188</v>
      </c>
      <c r="AP778" t="s">
        <v>74</v>
      </c>
      <c r="AQ778" t="s">
        <v>74</v>
      </c>
      <c r="AR778" t="s">
        <v>2190</v>
      </c>
      <c r="AS778" t="s">
        <v>2191</v>
      </c>
      <c r="AT778" t="s">
        <v>10390</v>
      </c>
      <c r="AU778">
        <v>2003</v>
      </c>
      <c r="AV778">
        <v>142</v>
      </c>
      <c r="AW778">
        <v>3</v>
      </c>
      <c r="AX778" t="s">
        <v>74</v>
      </c>
      <c r="AY778" t="s">
        <v>74</v>
      </c>
      <c r="AZ778" t="s">
        <v>74</v>
      </c>
      <c r="BA778" t="s">
        <v>74</v>
      </c>
      <c r="BB778">
        <v>525</v>
      </c>
      <c r="BC778">
        <v>536</v>
      </c>
      <c r="BD778" t="s">
        <v>74</v>
      </c>
      <c r="BE778" t="s">
        <v>11007</v>
      </c>
      <c r="BF778" t="str">
        <f>HYPERLINK("http://dx.doi.org/10.1007/s00227-002-0976-5","http://dx.doi.org/10.1007/s00227-002-0976-5")</f>
        <v>http://dx.doi.org/10.1007/s00227-002-0976-5</v>
      </c>
      <c r="BG778" t="s">
        <v>74</v>
      </c>
      <c r="BH778" t="s">
        <v>74</v>
      </c>
      <c r="BI778">
        <v>12</v>
      </c>
      <c r="BJ778" t="s">
        <v>235</v>
      </c>
      <c r="BK778" t="s">
        <v>94</v>
      </c>
      <c r="BL778" t="s">
        <v>235</v>
      </c>
      <c r="BM778" t="s">
        <v>11008</v>
      </c>
      <c r="BN778" t="s">
        <v>74</v>
      </c>
      <c r="BO778" t="s">
        <v>74</v>
      </c>
      <c r="BP778" t="s">
        <v>74</v>
      </c>
      <c r="BQ778" t="s">
        <v>74</v>
      </c>
      <c r="BR778" t="s">
        <v>97</v>
      </c>
      <c r="BS778" t="s">
        <v>11009</v>
      </c>
      <c r="BT778" t="str">
        <f>HYPERLINK("https%3A%2F%2Fwww.webofscience.com%2Fwos%2Fwoscc%2Ffull-record%2FWOS:000182387900013","View Full Record in Web of Science")</f>
        <v>View Full Record in Web of Science</v>
      </c>
    </row>
    <row r="779" spans="1:72" x14ac:dyDescent="0.15">
      <c r="A779" t="s">
        <v>72</v>
      </c>
      <c r="B779" t="s">
        <v>10136</v>
      </c>
      <c r="C779" t="s">
        <v>74</v>
      </c>
      <c r="D779" t="s">
        <v>74</v>
      </c>
      <c r="E779" t="s">
        <v>74</v>
      </c>
      <c r="F779" t="s">
        <v>10136</v>
      </c>
      <c r="G779" t="s">
        <v>74</v>
      </c>
      <c r="H779" t="s">
        <v>74</v>
      </c>
      <c r="I779" t="s">
        <v>11010</v>
      </c>
      <c r="J779" t="s">
        <v>2177</v>
      </c>
      <c r="K779" t="s">
        <v>74</v>
      </c>
      <c r="L779" t="s">
        <v>74</v>
      </c>
      <c r="M779" t="s">
        <v>77</v>
      </c>
      <c r="N779" t="s">
        <v>78</v>
      </c>
      <c r="O779" t="s">
        <v>74</v>
      </c>
      <c r="P779" t="s">
        <v>74</v>
      </c>
      <c r="Q779" t="s">
        <v>74</v>
      </c>
      <c r="R779" t="s">
        <v>74</v>
      </c>
      <c r="S779" t="s">
        <v>74</v>
      </c>
      <c r="T779" t="s">
        <v>74</v>
      </c>
      <c r="U779" t="s">
        <v>11011</v>
      </c>
      <c r="V779" t="s">
        <v>11012</v>
      </c>
      <c r="W779" t="s">
        <v>11013</v>
      </c>
      <c r="X779" t="s">
        <v>11014</v>
      </c>
      <c r="Y779" t="s">
        <v>10141</v>
      </c>
      <c r="Z779" t="s">
        <v>74</v>
      </c>
      <c r="AA779" t="s">
        <v>74</v>
      </c>
      <c r="AB779" t="s">
        <v>74</v>
      </c>
      <c r="AC779" t="s">
        <v>74</v>
      </c>
      <c r="AD779" t="s">
        <v>74</v>
      </c>
      <c r="AE779" t="s">
        <v>74</v>
      </c>
      <c r="AF779" t="s">
        <v>74</v>
      </c>
      <c r="AG779">
        <v>28</v>
      </c>
      <c r="AH779">
        <v>8</v>
      </c>
      <c r="AI779">
        <v>11</v>
      </c>
      <c r="AJ779">
        <v>0</v>
      </c>
      <c r="AK779">
        <v>15</v>
      </c>
      <c r="AL779" t="s">
        <v>342</v>
      </c>
      <c r="AM779" t="s">
        <v>229</v>
      </c>
      <c r="AN779" t="s">
        <v>343</v>
      </c>
      <c r="AO779" t="s">
        <v>2188</v>
      </c>
      <c r="AP779" t="s">
        <v>74</v>
      </c>
      <c r="AQ779" t="s">
        <v>74</v>
      </c>
      <c r="AR779" t="s">
        <v>2190</v>
      </c>
      <c r="AS779" t="s">
        <v>2191</v>
      </c>
      <c r="AT779" t="s">
        <v>10390</v>
      </c>
      <c r="AU779">
        <v>2003</v>
      </c>
      <c r="AV779">
        <v>142</v>
      </c>
      <c r="AW779">
        <v>3</v>
      </c>
      <c r="AX779" t="s">
        <v>74</v>
      </c>
      <c r="AY779" t="s">
        <v>74</v>
      </c>
      <c r="AZ779" t="s">
        <v>74</v>
      </c>
      <c r="BA779" t="s">
        <v>74</v>
      </c>
      <c r="BB779">
        <v>549</v>
      </c>
      <c r="BC779">
        <v>557</v>
      </c>
      <c r="BD779" t="s">
        <v>74</v>
      </c>
      <c r="BE779" t="s">
        <v>11015</v>
      </c>
      <c r="BF779" t="str">
        <f>HYPERLINK("http://dx.doi.org/10.1007/s00227-002-0968-5","http://dx.doi.org/10.1007/s00227-002-0968-5")</f>
        <v>http://dx.doi.org/10.1007/s00227-002-0968-5</v>
      </c>
      <c r="BG779" t="s">
        <v>74</v>
      </c>
      <c r="BH779" t="s">
        <v>74</v>
      </c>
      <c r="BI779">
        <v>9</v>
      </c>
      <c r="BJ779" t="s">
        <v>235</v>
      </c>
      <c r="BK779" t="s">
        <v>94</v>
      </c>
      <c r="BL779" t="s">
        <v>235</v>
      </c>
      <c r="BM779" t="s">
        <v>11008</v>
      </c>
      <c r="BN779" t="s">
        <v>74</v>
      </c>
      <c r="BO779" t="s">
        <v>74</v>
      </c>
      <c r="BP779" t="s">
        <v>74</v>
      </c>
      <c r="BQ779" t="s">
        <v>74</v>
      </c>
      <c r="BR779" t="s">
        <v>97</v>
      </c>
      <c r="BS779" t="s">
        <v>11016</v>
      </c>
      <c r="BT779" t="str">
        <f>HYPERLINK("https%3A%2F%2Fwww.webofscience.com%2Fwos%2Fwoscc%2Ffull-record%2FWOS:000182387900015","View Full Record in Web of Science")</f>
        <v>View Full Record in Web of Science</v>
      </c>
    </row>
    <row r="780" spans="1:72" x14ac:dyDescent="0.15">
      <c r="A780" t="s">
        <v>72</v>
      </c>
      <c r="B780" t="s">
        <v>11017</v>
      </c>
      <c r="C780" t="s">
        <v>74</v>
      </c>
      <c r="D780" t="s">
        <v>74</v>
      </c>
      <c r="E780" t="s">
        <v>74</v>
      </c>
      <c r="F780" t="s">
        <v>11017</v>
      </c>
      <c r="G780" t="s">
        <v>74</v>
      </c>
      <c r="H780" t="s">
        <v>74</v>
      </c>
      <c r="I780" t="s">
        <v>11018</v>
      </c>
      <c r="J780" t="s">
        <v>2177</v>
      </c>
      <c r="K780" t="s">
        <v>74</v>
      </c>
      <c r="L780" t="s">
        <v>74</v>
      </c>
      <c r="M780" t="s">
        <v>77</v>
      </c>
      <c r="N780" t="s">
        <v>78</v>
      </c>
      <c r="O780" t="s">
        <v>74</v>
      </c>
      <c r="P780" t="s">
        <v>74</v>
      </c>
      <c r="Q780" t="s">
        <v>74</v>
      </c>
      <c r="R780" t="s">
        <v>74</v>
      </c>
      <c r="S780" t="s">
        <v>74</v>
      </c>
      <c r="T780" t="s">
        <v>74</v>
      </c>
      <c r="U780" t="s">
        <v>11019</v>
      </c>
      <c r="V780" t="s">
        <v>11020</v>
      </c>
      <c r="W780" t="s">
        <v>11021</v>
      </c>
      <c r="X780" t="s">
        <v>11022</v>
      </c>
      <c r="Y780" t="s">
        <v>74</v>
      </c>
      <c r="Z780" t="s">
        <v>11023</v>
      </c>
      <c r="AA780" t="s">
        <v>11024</v>
      </c>
      <c r="AB780" t="s">
        <v>11025</v>
      </c>
      <c r="AC780" t="s">
        <v>74</v>
      </c>
      <c r="AD780" t="s">
        <v>74</v>
      </c>
      <c r="AE780" t="s">
        <v>74</v>
      </c>
      <c r="AF780" t="s">
        <v>74</v>
      </c>
      <c r="AG780">
        <v>39</v>
      </c>
      <c r="AH780">
        <v>58</v>
      </c>
      <c r="AI780">
        <v>65</v>
      </c>
      <c r="AJ780">
        <v>0</v>
      </c>
      <c r="AK780">
        <v>31</v>
      </c>
      <c r="AL780" t="s">
        <v>2185</v>
      </c>
      <c r="AM780" t="s">
        <v>2186</v>
      </c>
      <c r="AN780" t="s">
        <v>2187</v>
      </c>
      <c r="AO780" t="s">
        <v>2188</v>
      </c>
      <c r="AP780" t="s">
        <v>2189</v>
      </c>
      <c r="AQ780" t="s">
        <v>74</v>
      </c>
      <c r="AR780" t="s">
        <v>2190</v>
      </c>
      <c r="AS780" t="s">
        <v>2191</v>
      </c>
      <c r="AT780" t="s">
        <v>10390</v>
      </c>
      <c r="AU780">
        <v>2003</v>
      </c>
      <c r="AV780">
        <v>142</v>
      </c>
      <c r="AW780">
        <v>3</v>
      </c>
      <c r="AX780" t="s">
        <v>74</v>
      </c>
      <c r="AY780" t="s">
        <v>74</v>
      </c>
      <c r="AZ780" t="s">
        <v>74</v>
      </c>
      <c r="BA780" t="s">
        <v>74</v>
      </c>
      <c r="BB780">
        <v>589</v>
      </c>
      <c r="BC780">
        <v>599</v>
      </c>
      <c r="BD780" t="s">
        <v>74</v>
      </c>
      <c r="BE780" t="s">
        <v>11026</v>
      </c>
      <c r="BF780" t="str">
        <f>HYPERLINK("http://dx.doi.org/10.1007/s00227-002-0967-6","http://dx.doi.org/10.1007/s00227-002-0967-6")</f>
        <v>http://dx.doi.org/10.1007/s00227-002-0967-6</v>
      </c>
      <c r="BG780" t="s">
        <v>74</v>
      </c>
      <c r="BH780" t="s">
        <v>74</v>
      </c>
      <c r="BI780">
        <v>11</v>
      </c>
      <c r="BJ780" t="s">
        <v>235</v>
      </c>
      <c r="BK780" t="s">
        <v>94</v>
      </c>
      <c r="BL780" t="s">
        <v>235</v>
      </c>
      <c r="BM780" t="s">
        <v>11008</v>
      </c>
      <c r="BN780" t="s">
        <v>74</v>
      </c>
      <c r="BO780" t="s">
        <v>1767</v>
      </c>
      <c r="BP780" t="s">
        <v>74</v>
      </c>
      <c r="BQ780" t="s">
        <v>74</v>
      </c>
      <c r="BR780" t="s">
        <v>97</v>
      </c>
      <c r="BS780" t="s">
        <v>11027</v>
      </c>
      <c r="BT780" t="str">
        <f>HYPERLINK("https%3A%2F%2Fwww.webofscience.com%2Fwos%2Fwoscc%2Ffull-record%2FWOS:000182387900020","View Full Record in Web of Science")</f>
        <v>View Full Record in Web of Science</v>
      </c>
    </row>
    <row r="781" spans="1:72" x14ac:dyDescent="0.15">
      <c r="A781" t="s">
        <v>72</v>
      </c>
      <c r="B781" t="s">
        <v>11028</v>
      </c>
      <c r="C781" t="s">
        <v>74</v>
      </c>
      <c r="D781" t="s">
        <v>74</v>
      </c>
      <c r="E781" t="s">
        <v>74</v>
      </c>
      <c r="F781" t="s">
        <v>11028</v>
      </c>
      <c r="G781" t="s">
        <v>74</v>
      </c>
      <c r="H781" t="s">
        <v>74</v>
      </c>
      <c r="I781" t="s">
        <v>11029</v>
      </c>
      <c r="J781" t="s">
        <v>2177</v>
      </c>
      <c r="K781" t="s">
        <v>74</v>
      </c>
      <c r="L781" t="s">
        <v>74</v>
      </c>
      <c r="M781" t="s">
        <v>77</v>
      </c>
      <c r="N781" t="s">
        <v>78</v>
      </c>
      <c r="O781" t="s">
        <v>74</v>
      </c>
      <c r="P781" t="s">
        <v>74</v>
      </c>
      <c r="Q781" t="s">
        <v>74</v>
      </c>
      <c r="R781" t="s">
        <v>74</v>
      </c>
      <c r="S781" t="s">
        <v>74</v>
      </c>
      <c r="T781" t="s">
        <v>74</v>
      </c>
      <c r="U781" t="s">
        <v>11030</v>
      </c>
      <c r="V781" t="s">
        <v>11031</v>
      </c>
      <c r="W781" t="s">
        <v>705</v>
      </c>
      <c r="X781" t="s">
        <v>706</v>
      </c>
      <c r="Y781" t="s">
        <v>3475</v>
      </c>
      <c r="Z781" t="s">
        <v>11032</v>
      </c>
      <c r="AA781" t="s">
        <v>3957</v>
      </c>
      <c r="AB781" t="s">
        <v>3958</v>
      </c>
      <c r="AC781" t="s">
        <v>74</v>
      </c>
      <c r="AD781" t="s">
        <v>74</v>
      </c>
      <c r="AE781" t="s">
        <v>74</v>
      </c>
      <c r="AF781" t="s">
        <v>74</v>
      </c>
      <c r="AG781">
        <v>52</v>
      </c>
      <c r="AH781">
        <v>44</v>
      </c>
      <c r="AI781">
        <v>48</v>
      </c>
      <c r="AJ781">
        <v>1</v>
      </c>
      <c r="AK781">
        <v>13</v>
      </c>
      <c r="AL781" t="s">
        <v>2185</v>
      </c>
      <c r="AM781" t="s">
        <v>2186</v>
      </c>
      <c r="AN781" t="s">
        <v>2187</v>
      </c>
      <c r="AO781" t="s">
        <v>2188</v>
      </c>
      <c r="AP781" t="s">
        <v>2189</v>
      </c>
      <c r="AQ781" t="s">
        <v>74</v>
      </c>
      <c r="AR781" t="s">
        <v>2190</v>
      </c>
      <c r="AS781" t="s">
        <v>2191</v>
      </c>
      <c r="AT781" t="s">
        <v>10390</v>
      </c>
      <c r="AU781">
        <v>2003</v>
      </c>
      <c r="AV781">
        <v>142</v>
      </c>
      <c r="AW781">
        <v>3</v>
      </c>
      <c r="AX781" t="s">
        <v>74</v>
      </c>
      <c r="AY781" t="s">
        <v>74</v>
      </c>
      <c r="AZ781" t="s">
        <v>74</v>
      </c>
      <c r="BA781" t="s">
        <v>74</v>
      </c>
      <c r="BB781">
        <v>611</v>
      </c>
      <c r="BC781">
        <v>622</v>
      </c>
      <c r="BD781" t="s">
        <v>74</v>
      </c>
      <c r="BE781" t="s">
        <v>11033</v>
      </c>
      <c r="BF781" t="str">
        <f>HYPERLINK("http://dx.doi.org/10.1007/s00227-002-0962-y","http://dx.doi.org/10.1007/s00227-002-0962-y")</f>
        <v>http://dx.doi.org/10.1007/s00227-002-0962-y</v>
      </c>
      <c r="BG781" t="s">
        <v>74</v>
      </c>
      <c r="BH781" t="s">
        <v>74</v>
      </c>
      <c r="BI781">
        <v>12</v>
      </c>
      <c r="BJ781" t="s">
        <v>235</v>
      </c>
      <c r="BK781" t="s">
        <v>94</v>
      </c>
      <c r="BL781" t="s">
        <v>235</v>
      </c>
      <c r="BM781" t="s">
        <v>11008</v>
      </c>
      <c r="BN781" t="s">
        <v>74</v>
      </c>
      <c r="BO781" t="s">
        <v>74</v>
      </c>
      <c r="BP781" t="s">
        <v>74</v>
      </c>
      <c r="BQ781" t="s">
        <v>74</v>
      </c>
      <c r="BR781" t="s">
        <v>97</v>
      </c>
      <c r="BS781" t="s">
        <v>11034</v>
      </c>
      <c r="BT781" t="str">
        <f>HYPERLINK("https%3A%2F%2Fwww.webofscience.com%2Fwos%2Fwoscc%2Ffull-record%2FWOS:000182387900022","View Full Record in Web of Science")</f>
        <v>View Full Record in Web of Science</v>
      </c>
    </row>
    <row r="782" spans="1:72" x14ac:dyDescent="0.15">
      <c r="A782" t="s">
        <v>72</v>
      </c>
      <c r="B782" t="s">
        <v>11035</v>
      </c>
      <c r="C782" t="s">
        <v>74</v>
      </c>
      <c r="D782" t="s">
        <v>74</v>
      </c>
      <c r="E782" t="s">
        <v>74</v>
      </c>
      <c r="F782" t="s">
        <v>11035</v>
      </c>
      <c r="G782" t="s">
        <v>74</v>
      </c>
      <c r="H782" t="s">
        <v>74</v>
      </c>
      <c r="I782" t="s">
        <v>11036</v>
      </c>
      <c r="J782" t="s">
        <v>2206</v>
      </c>
      <c r="K782" t="s">
        <v>74</v>
      </c>
      <c r="L782" t="s">
        <v>74</v>
      </c>
      <c r="M782" t="s">
        <v>77</v>
      </c>
      <c r="N782" t="s">
        <v>556</v>
      </c>
      <c r="O782" t="s">
        <v>74</v>
      </c>
      <c r="P782" t="s">
        <v>74</v>
      </c>
      <c r="Q782" t="s">
        <v>74</v>
      </c>
      <c r="R782" t="s">
        <v>74</v>
      </c>
      <c r="S782" t="s">
        <v>74</v>
      </c>
      <c r="T782" t="s">
        <v>11037</v>
      </c>
      <c r="U782" t="s">
        <v>11038</v>
      </c>
      <c r="V782" t="s">
        <v>11039</v>
      </c>
      <c r="W782" t="s">
        <v>11040</v>
      </c>
      <c r="X782" t="s">
        <v>11041</v>
      </c>
      <c r="Y782" t="s">
        <v>11042</v>
      </c>
      <c r="Z782" t="s">
        <v>11043</v>
      </c>
      <c r="AA782" t="s">
        <v>74</v>
      </c>
      <c r="AB782" t="s">
        <v>74</v>
      </c>
      <c r="AC782" t="s">
        <v>74</v>
      </c>
      <c r="AD782" t="s">
        <v>74</v>
      </c>
      <c r="AE782" t="s">
        <v>74</v>
      </c>
      <c r="AF782" t="s">
        <v>74</v>
      </c>
      <c r="AG782">
        <v>167</v>
      </c>
      <c r="AH782">
        <v>94</v>
      </c>
      <c r="AI782">
        <v>107</v>
      </c>
      <c r="AJ782">
        <v>0</v>
      </c>
      <c r="AK782">
        <v>18</v>
      </c>
      <c r="AL782" t="s">
        <v>781</v>
      </c>
      <c r="AM782" t="s">
        <v>111</v>
      </c>
      <c r="AN782" t="s">
        <v>782</v>
      </c>
      <c r="AO782" t="s">
        <v>2215</v>
      </c>
      <c r="AP782" t="s">
        <v>8585</v>
      </c>
      <c r="AQ782" t="s">
        <v>74</v>
      </c>
      <c r="AR782" t="s">
        <v>2216</v>
      </c>
      <c r="AS782" t="s">
        <v>2217</v>
      </c>
      <c r="AT782" t="s">
        <v>10390</v>
      </c>
      <c r="AU782">
        <v>2003</v>
      </c>
      <c r="AV782">
        <v>47</v>
      </c>
      <c r="AW782" t="s">
        <v>116</v>
      </c>
      <c r="AX782" t="s">
        <v>74</v>
      </c>
      <c r="AY782" t="s">
        <v>74</v>
      </c>
      <c r="AZ782" t="s">
        <v>74</v>
      </c>
      <c r="BA782" t="s">
        <v>74</v>
      </c>
      <c r="BB782">
        <v>177</v>
      </c>
      <c r="BC782">
        <v>226</v>
      </c>
      <c r="BD782" t="s">
        <v>11044</v>
      </c>
      <c r="BE782" t="s">
        <v>11045</v>
      </c>
      <c r="BF782" t="str">
        <f>HYPERLINK("http://dx.doi.org/10.1016/S0377-8398(02)00117-2","http://dx.doi.org/10.1016/S0377-8398(02)00117-2")</f>
        <v>http://dx.doi.org/10.1016/S0377-8398(02)00117-2</v>
      </c>
      <c r="BG782" t="s">
        <v>74</v>
      </c>
      <c r="BH782" t="s">
        <v>74</v>
      </c>
      <c r="BI782">
        <v>50</v>
      </c>
      <c r="BJ782" t="s">
        <v>2219</v>
      </c>
      <c r="BK782" t="s">
        <v>94</v>
      </c>
      <c r="BL782" t="s">
        <v>2219</v>
      </c>
      <c r="BM782" t="s">
        <v>11046</v>
      </c>
      <c r="BN782" t="s">
        <v>74</v>
      </c>
      <c r="BO782" t="s">
        <v>74</v>
      </c>
      <c r="BP782" t="s">
        <v>74</v>
      </c>
      <c r="BQ782" t="s">
        <v>74</v>
      </c>
      <c r="BR782" t="s">
        <v>97</v>
      </c>
      <c r="BS782" t="s">
        <v>11047</v>
      </c>
      <c r="BT782" t="str">
        <f>HYPERLINK("https%3A%2F%2Fwww.webofscience.com%2Fwos%2Fwoscc%2Ffull-record%2FWOS:000181627600001","View Full Record in Web of Science")</f>
        <v>View Full Record in Web of Science</v>
      </c>
    </row>
    <row r="783" spans="1:72" x14ac:dyDescent="0.15">
      <c r="A783" t="s">
        <v>72</v>
      </c>
      <c r="B783" t="s">
        <v>11048</v>
      </c>
      <c r="C783" t="s">
        <v>74</v>
      </c>
      <c r="D783" t="s">
        <v>74</v>
      </c>
      <c r="E783" t="s">
        <v>74</v>
      </c>
      <c r="F783" t="s">
        <v>11048</v>
      </c>
      <c r="G783" t="s">
        <v>74</v>
      </c>
      <c r="H783" t="s">
        <v>74</v>
      </c>
      <c r="I783" t="s">
        <v>11049</v>
      </c>
      <c r="J783" t="s">
        <v>2224</v>
      </c>
      <c r="K783" t="s">
        <v>74</v>
      </c>
      <c r="L783" t="s">
        <v>74</v>
      </c>
      <c r="M783" t="s">
        <v>77</v>
      </c>
      <c r="N783" t="s">
        <v>78</v>
      </c>
      <c r="O783" t="s">
        <v>74</v>
      </c>
      <c r="P783" t="s">
        <v>74</v>
      </c>
      <c r="Q783" t="s">
        <v>74</v>
      </c>
      <c r="R783" t="s">
        <v>74</v>
      </c>
      <c r="S783" t="s">
        <v>74</v>
      </c>
      <c r="T783" t="s">
        <v>11050</v>
      </c>
      <c r="U783" t="s">
        <v>11051</v>
      </c>
      <c r="V783" t="s">
        <v>11052</v>
      </c>
      <c r="W783" t="s">
        <v>4686</v>
      </c>
      <c r="X783" t="s">
        <v>706</v>
      </c>
      <c r="Y783" t="s">
        <v>11053</v>
      </c>
      <c r="Z783" t="s">
        <v>11054</v>
      </c>
      <c r="AA783" t="s">
        <v>3135</v>
      </c>
      <c r="AB783" t="s">
        <v>74</v>
      </c>
      <c r="AC783" t="s">
        <v>74</v>
      </c>
      <c r="AD783" t="s">
        <v>74</v>
      </c>
      <c r="AE783" t="s">
        <v>74</v>
      </c>
      <c r="AF783" t="s">
        <v>74</v>
      </c>
      <c r="AG783">
        <v>17</v>
      </c>
      <c r="AH783">
        <v>18</v>
      </c>
      <c r="AI783">
        <v>19</v>
      </c>
      <c r="AJ783">
        <v>0</v>
      </c>
      <c r="AK783">
        <v>16</v>
      </c>
      <c r="AL783" t="s">
        <v>169</v>
      </c>
      <c r="AM783" t="s">
        <v>170</v>
      </c>
      <c r="AN783" t="s">
        <v>171</v>
      </c>
      <c r="AO783" t="s">
        <v>2233</v>
      </c>
      <c r="AP783" t="s">
        <v>2234</v>
      </c>
      <c r="AQ783" t="s">
        <v>74</v>
      </c>
      <c r="AR783" t="s">
        <v>2235</v>
      </c>
      <c r="AS783" t="s">
        <v>2236</v>
      </c>
      <c r="AT783" t="s">
        <v>10390</v>
      </c>
      <c r="AU783">
        <v>2003</v>
      </c>
      <c r="AV783">
        <v>46</v>
      </c>
      <c r="AW783">
        <v>3</v>
      </c>
      <c r="AX783" t="s">
        <v>74</v>
      </c>
      <c r="AY783" t="s">
        <v>74</v>
      </c>
      <c r="AZ783" t="s">
        <v>74</v>
      </c>
      <c r="BA783" t="s">
        <v>74</v>
      </c>
      <c r="BB783">
        <v>353</v>
      </c>
      <c r="BC783">
        <v>357</v>
      </c>
      <c r="BD783" t="s">
        <v>74</v>
      </c>
      <c r="BE783" t="s">
        <v>11055</v>
      </c>
      <c r="BF783" t="str">
        <f>HYPERLINK("http://dx.doi.org/10.1016/S0025-326X(02)00224-2","http://dx.doi.org/10.1016/S0025-326X(02)00224-2")</f>
        <v>http://dx.doi.org/10.1016/S0025-326X(02)00224-2</v>
      </c>
      <c r="BG783" t="s">
        <v>74</v>
      </c>
      <c r="BH783" t="s">
        <v>74</v>
      </c>
      <c r="BI783">
        <v>5</v>
      </c>
      <c r="BJ783" t="s">
        <v>2238</v>
      </c>
      <c r="BK783" t="s">
        <v>94</v>
      </c>
      <c r="BL783" t="s">
        <v>486</v>
      </c>
      <c r="BM783" t="s">
        <v>11056</v>
      </c>
      <c r="BN783">
        <v>12604070</v>
      </c>
      <c r="BO783" t="s">
        <v>74</v>
      </c>
      <c r="BP783" t="s">
        <v>74</v>
      </c>
      <c r="BQ783" t="s">
        <v>74</v>
      </c>
      <c r="BR783" t="s">
        <v>97</v>
      </c>
      <c r="BS783" t="s">
        <v>11057</v>
      </c>
      <c r="BT783" t="str">
        <f>HYPERLINK("https%3A%2F%2Fwww.webofscience.com%2Fwos%2Fwoscc%2Ffull-record%2FWOS:000181579000022","View Full Record in Web of Science")</f>
        <v>View Full Record in Web of Science</v>
      </c>
    </row>
    <row r="784" spans="1:72" x14ac:dyDescent="0.15">
      <c r="A784" t="s">
        <v>72</v>
      </c>
      <c r="B784" t="s">
        <v>11058</v>
      </c>
      <c r="C784" t="s">
        <v>74</v>
      </c>
      <c r="D784" t="s">
        <v>74</v>
      </c>
      <c r="E784" t="s">
        <v>74</v>
      </c>
      <c r="F784" t="s">
        <v>11058</v>
      </c>
      <c r="G784" t="s">
        <v>74</v>
      </c>
      <c r="H784" t="s">
        <v>74</v>
      </c>
      <c r="I784" t="s">
        <v>11059</v>
      </c>
      <c r="J784" t="s">
        <v>2243</v>
      </c>
      <c r="K784" t="s">
        <v>74</v>
      </c>
      <c r="L784" t="s">
        <v>74</v>
      </c>
      <c r="M784" t="s">
        <v>77</v>
      </c>
      <c r="N784" t="s">
        <v>78</v>
      </c>
      <c r="O784" t="s">
        <v>74</v>
      </c>
      <c r="P784" t="s">
        <v>74</v>
      </c>
      <c r="Q784" t="s">
        <v>74</v>
      </c>
      <c r="R784" t="s">
        <v>74</v>
      </c>
      <c r="S784" t="s">
        <v>74</v>
      </c>
      <c r="T784" t="s">
        <v>74</v>
      </c>
      <c r="U784" t="s">
        <v>11060</v>
      </c>
      <c r="V784" t="s">
        <v>11061</v>
      </c>
      <c r="W784" t="s">
        <v>11062</v>
      </c>
      <c r="X784" t="s">
        <v>11063</v>
      </c>
      <c r="Y784" t="s">
        <v>11064</v>
      </c>
      <c r="Z784" t="s">
        <v>74</v>
      </c>
      <c r="AA784" t="s">
        <v>74</v>
      </c>
      <c r="AB784" t="s">
        <v>74</v>
      </c>
      <c r="AC784" t="s">
        <v>74</v>
      </c>
      <c r="AD784" t="s">
        <v>74</v>
      </c>
      <c r="AE784" t="s">
        <v>74</v>
      </c>
      <c r="AF784" t="s">
        <v>74</v>
      </c>
      <c r="AG784">
        <v>46</v>
      </c>
      <c r="AH784">
        <v>14</v>
      </c>
      <c r="AI784">
        <v>15</v>
      </c>
      <c r="AJ784">
        <v>0</v>
      </c>
      <c r="AK784">
        <v>1</v>
      </c>
      <c r="AL784" t="s">
        <v>2250</v>
      </c>
      <c r="AM784" t="s">
        <v>2251</v>
      </c>
      <c r="AN784" t="s">
        <v>2252</v>
      </c>
      <c r="AO784" t="s">
        <v>2253</v>
      </c>
      <c r="AP784" t="s">
        <v>74</v>
      </c>
      <c r="AQ784" t="s">
        <v>74</v>
      </c>
      <c r="AR784" t="s">
        <v>2254</v>
      </c>
      <c r="AS784" t="s">
        <v>2255</v>
      </c>
      <c r="AT784" t="s">
        <v>10390</v>
      </c>
      <c r="AU784">
        <v>2003</v>
      </c>
      <c r="AV784">
        <v>38</v>
      </c>
      <c r="AW784">
        <v>3</v>
      </c>
      <c r="AX784" t="s">
        <v>74</v>
      </c>
      <c r="AY784" t="s">
        <v>74</v>
      </c>
      <c r="AZ784" t="s">
        <v>74</v>
      </c>
      <c r="BA784" t="s">
        <v>74</v>
      </c>
      <c r="BB784">
        <v>329</v>
      </c>
      <c r="BC784">
        <v>340</v>
      </c>
      <c r="BD784" t="s">
        <v>74</v>
      </c>
      <c r="BE784" t="s">
        <v>11065</v>
      </c>
      <c r="BF784" t="str">
        <f>HYPERLINK("http://dx.doi.org/10.1111/j.1945-5100.2003.tb00269.x","http://dx.doi.org/10.1111/j.1945-5100.2003.tb00269.x")</f>
        <v>http://dx.doi.org/10.1111/j.1945-5100.2003.tb00269.x</v>
      </c>
      <c r="BG784" t="s">
        <v>74</v>
      </c>
      <c r="BH784" t="s">
        <v>74</v>
      </c>
      <c r="BI784">
        <v>12</v>
      </c>
      <c r="BJ784" t="s">
        <v>176</v>
      </c>
      <c r="BK784" t="s">
        <v>94</v>
      </c>
      <c r="BL784" t="s">
        <v>176</v>
      </c>
      <c r="BM784" t="s">
        <v>11066</v>
      </c>
      <c r="BN784" t="s">
        <v>74</v>
      </c>
      <c r="BO784" t="s">
        <v>74</v>
      </c>
      <c r="BP784" t="s">
        <v>74</v>
      </c>
      <c r="BQ784" t="s">
        <v>74</v>
      </c>
      <c r="BR784" t="s">
        <v>97</v>
      </c>
      <c r="BS784" t="s">
        <v>11067</v>
      </c>
      <c r="BT784" t="str">
        <f>HYPERLINK("https%3A%2F%2Fwww.webofscience.com%2Fwos%2Fwoscc%2Ffull-record%2FWOS:000185868400001","View Full Record in Web of Science")</f>
        <v>View Full Record in Web of Science</v>
      </c>
    </row>
    <row r="785" spans="1:72" x14ac:dyDescent="0.15">
      <c r="A785" t="s">
        <v>72</v>
      </c>
      <c r="B785" t="s">
        <v>11068</v>
      </c>
      <c r="C785" t="s">
        <v>74</v>
      </c>
      <c r="D785" t="s">
        <v>74</v>
      </c>
      <c r="E785" t="s">
        <v>74</v>
      </c>
      <c r="F785" t="s">
        <v>11068</v>
      </c>
      <c r="G785" t="s">
        <v>74</v>
      </c>
      <c r="H785" t="s">
        <v>74</v>
      </c>
      <c r="I785" t="s">
        <v>11069</v>
      </c>
      <c r="J785" t="s">
        <v>6896</v>
      </c>
      <c r="K785" t="s">
        <v>74</v>
      </c>
      <c r="L785" t="s">
        <v>74</v>
      </c>
      <c r="M785" t="s">
        <v>77</v>
      </c>
      <c r="N785" t="s">
        <v>78</v>
      </c>
      <c r="O785" t="s">
        <v>74</v>
      </c>
      <c r="P785" t="s">
        <v>74</v>
      </c>
      <c r="Q785" t="s">
        <v>74</v>
      </c>
      <c r="R785" t="s">
        <v>74</v>
      </c>
      <c r="S785" t="s">
        <v>74</v>
      </c>
      <c r="T785" t="s">
        <v>74</v>
      </c>
      <c r="U785" t="s">
        <v>11070</v>
      </c>
      <c r="V785" t="s">
        <v>11071</v>
      </c>
      <c r="W785" t="s">
        <v>11072</v>
      </c>
      <c r="X785" t="s">
        <v>11073</v>
      </c>
      <c r="Y785" t="s">
        <v>11074</v>
      </c>
      <c r="Z785" t="s">
        <v>74</v>
      </c>
      <c r="AA785" t="s">
        <v>11075</v>
      </c>
      <c r="AB785" t="s">
        <v>11076</v>
      </c>
      <c r="AC785" t="s">
        <v>74</v>
      </c>
      <c r="AD785" t="s">
        <v>74</v>
      </c>
      <c r="AE785" t="s">
        <v>74</v>
      </c>
      <c r="AF785" t="s">
        <v>74</v>
      </c>
      <c r="AG785">
        <v>50</v>
      </c>
      <c r="AH785">
        <v>17</v>
      </c>
      <c r="AI785">
        <v>18</v>
      </c>
      <c r="AJ785">
        <v>0</v>
      </c>
      <c r="AK785">
        <v>1</v>
      </c>
      <c r="AL785" t="s">
        <v>6899</v>
      </c>
      <c r="AM785" t="s">
        <v>229</v>
      </c>
      <c r="AN785" t="s">
        <v>6900</v>
      </c>
      <c r="AO785" t="s">
        <v>6901</v>
      </c>
      <c r="AP785" t="s">
        <v>74</v>
      </c>
      <c r="AQ785" t="s">
        <v>74</v>
      </c>
      <c r="AR785" t="s">
        <v>6896</v>
      </c>
      <c r="AS785" t="s">
        <v>6902</v>
      </c>
      <c r="AT785" t="s">
        <v>10452</v>
      </c>
      <c r="AU785">
        <v>2003</v>
      </c>
      <c r="AV785">
        <v>49</v>
      </c>
      <c r="AW785">
        <v>1</v>
      </c>
      <c r="AX785" t="s">
        <v>74</v>
      </c>
      <c r="AY785" t="s">
        <v>74</v>
      </c>
      <c r="AZ785" t="s">
        <v>74</v>
      </c>
      <c r="BA785" t="s">
        <v>74</v>
      </c>
      <c r="BB785">
        <v>95</v>
      </c>
      <c r="BC785">
        <v>107</v>
      </c>
      <c r="BD785" t="s">
        <v>74</v>
      </c>
      <c r="BE785" t="s">
        <v>11077</v>
      </c>
      <c r="BF785" t="str">
        <f>HYPERLINK("http://dx.doi.org/10.2113/49.1.95","http://dx.doi.org/10.2113/49.1.95")</f>
        <v>http://dx.doi.org/10.2113/49.1.95</v>
      </c>
      <c r="BG785" t="s">
        <v>74</v>
      </c>
      <c r="BH785" t="s">
        <v>74</v>
      </c>
      <c r="BI785">
        <v>13</v>
      </c>
      <c r="BJ785" t="s">
        <v>2219</v>
      </c>
      <c r="BK785" t="s">
        <v>94</v>
      </c>
      <c r="BL785" t="s">
        <v>2219</v>
      </c>
      <c r="BM785" t="s">
        <v>11078</v>
      </c>
      <c r="BN785" t="s">
        <v>74</v>
      </c>
      <c r="BO785" t="s">
        <v>74</v>
      </c>
      <c r="BP785" t="s">
        <v>74</v>
      </c>
      <c r="BQ785" t="s">
        <v>74</v>
      </c>
      <c r="BR785" t="s">
        <v>97</v>
      </c>
      <c r="BS785" t="s">
        <v>11079</v>
      </c>
      <c r="BT785" t="str">
        <f>HYPERLINK("https%3A%2F%2Fwww.webofscience.com%2Fwos%2Fwoscc%2Ffull-record%2FWOS:000183175200005","View Full Record in Web of Science")</f>
        <v>View Full Record in Web of Science</v>
      </c>
    </row>
    <row r="786" spans="1:72" x14ac:dyDescent="0.15">
      <c r="A786" t="s">
        <v>72</v>
      </c>
      <c r="B786" t="s">
        <v>11080</v>
      </c>
      <c r="C786" t="s">
        <v>74</v>
      </c>
      <c r="D786" t="s">
        <v>74</v>
      </c>
      <c r="E786" t="s">
        <v>74</v>
      </c>
      <c r="F786" t="s">
        <v>11080</v>
      </c>
      <c r="G786" t="s">
        <v>74</v>
      </c>
      <c r="H786" t="s">
        <v>74</v>
      </c>
      <c r="I786" t="s">
        <v>11081</v>
      </c>
      <c r="J786" t="s">
        <v>11082</v>
      </c>
      <c r="K786" t="s">
        <v>74</v>
      </c>
      <c r="L786" t="s">
        <v>74</v>
      </c>
      <c r="M786" t="s">
        <v>77</v>
      </c>
      <c r="N786" t="s">
        <v>556</v>
      </c>
      <c r="O786" t="s">
        <v>74</v>
      </c>
      <c r="P786" t="s">
        <v>74</v>
      </c>
      <c r="Q786" t="s">
        <v>74</v>
      </c>
      <c r="R786" t="s">
        <v>74</v>
      </c>
      <c r="S786" t="s">
        <v>74</v>
      </c>
      <c r="T786" t="s">
        <v>74</v>
      </c>
      <c r="U786" t="s">
        <v>11083</v>
      </c>
      <c r="V786" t="s">
        <v>11084</v>
      </c>
      <c r="W786" t="s">
        <v>11085</v>
      </c>
      <c r="X786" t="s">
        <v>11086</v>
      </c>
      <c r="Y786" t="s">
        <v>11087</v>
      </c>
      <c r="Z786" t="s">
        <v>11088</v>
      </c>
      <c r="AA786" t="s">
        <v>11089</v>
      </c>
      <c r="AB786" t="s">
        <v>11090</v>
      </c>
      <c r="AC786" t="s">
        <v>74</v>
      </c>
      <c r="AD786" t="s">
        <v>74</v>
      </c>
      <c r="AE786" t="s">
        <v>74</v>
      </c>
      <c r="AF786" t="s">
        <v>74</v>
      </c>
      <c r="AG786">
        <v>214</v>
      </c>
      <c r="AH786">
        <v>108</v>
      </c>
      <c r="AI786">
        <v>125</v>
      </c>
      <c r="AJ786">
        <v>4</v>
      </c>
      <c r="AK786">
        <v>24</v>
      </c>
      <c r="AL786" t="s">
        <v>9157</v>
      </c>
      <c r="AM786" t="s">
        <v>229</v>
      </c>
      <c r="AN786" t="s">
        <v>11091</v>
      </c>
      <c r="AO786" t="s">
        <v>11092</v>
      </c>
      <c r="AP786" t="s">
        <v>11093</v>
      </c>
      <c r="AQ786" t="s">
        <v>74</v>
      </c>
      <c r="AR786" t="s">
        <v>11094</v>
      </c>
      <c r="AS786" t="s">
        <v>11095</v>
      </c>
      <c r="AT786" t="s">
        <v>10390</v>
      </c>
      <c r="AU786">
        <v>2003</v>
      </c>
      <c r="AV786">
        <v>33</v>
      </c>
      <c r="AW786" t="s">
        <v>74</v>
      </c>
      <c r="AX786" t="s">
        <v>74</v>
      </c>
      <c r="AY786" t="s">
        <v>5377</v>
      </c>
      <c r="AZ786" t="s">
        <v>74</v>
      </c>
      <c r="BA786" t="s">
        <v>74</v>
      </c>
      <c r="BB786">
        <v>255</v>
      </c>
      <c r="BC786">
        <v>265</v>
      </c>
      <c r="BD786" t="s">
        <v>74</v>
      </c>
      <c r="BE786" t="s">
        <v>11096</v>
      </c>
      <c r="BF786" t="str">
        <f>HYPERLINK("http://dx.doi.org/10.1038/ng1088","http://dx.doi.org/10.1038/ng1088")</f>
        <v>http://dx.doi.org/10.1038/ng1088</v>
      </c>
      <c r="BG786" t="s">
        <v>74</v>
      </c>
      <c r="BH786" t="s">
        <v>74</v>
      </c>
      <c r="BI786">
        <v>11</v>
      </c>
      <c r="BJ786" t="s">
        <v>11097</v>
      </c>
      <c r="BK786" t="s">
        <v>94</v>
      </c>
      <c r="BL786" t="s">
        <v>11097</v>
      </c>
      <c r="BM786" t="s">
        <v>11098</v>
      </c>
      <c r="BN786">
        <v>12610535</v>
      </c>
      <c r="BO786" t="s">
        <v>74</v>
      </c>
      <c r="BP786" t="s">
        <v>74</v>
      </c>
      <c r="BQ786" t="s">
        <v>74</v>
      </c>
      <c r="BR786" t="s">
        <v>97</v>
      </c>
      <c r="BS786" t="s">
        <v>11099</v>
      </c>
      <c r="BT786" t="str">
        <f>HYPERLINK("https%3A%2F%2Fwww.webofscience.com%2Fwos%2Fwoscc%2Ffull-record%2FWOS:000181390900006","View Full Record in Web of Science")</f>
        <v>View Full Record in Web of Science</v>
      </c>
    </row>
    <row r="787" spans="1:72" x14ac:dyDescent="0.15">
      <c r="A787" t="s">
        <v>72</v>
      </c>
      <c r="B787" t="s">
        <v>11100</v>
      </c>
      <c r="C787" t="s">
        <v>74</v>
      </c>
      <c r="D787" t="s">
        <v>74</v>
      </c>
      <c r="E787" t="s">
        <v>74</v>
      </c>
      <c r="F787" t="s">
        <v>11100</v>
      </c>
      <c r="G787" t="s">
        <v>74</v>
      </c>
      <c r="H787" t="s">
        <v>74</v>
      </c>
      <c r="I787" t="s">
        <v>11101</v>
      </c>
      <c r="J787" t="s">
        <v>11102</v>
      </c>
      <c r="K787" t="s">
        <v>74</v>
      </c>
      <c r="L787" t="s">
        <v>74</v>
      </c>
      <c r="M787" t="s">
        <v>77</v>
      </c>
      <c r="N787" t="s">
        <v>78</v>
      </c>
      <c r="O787" t="s">
        <v>74</v>
      </c>
      <c r="P787" t="s">
        <v>74</v>
      </c>
      <c r="Q787" t="s">
        <v>74</v>
      </c>
      <c r="R787" t="s">
        <v>74</v>
      </c>
      <c r="S787" t="s">
        <v>74</v>
      </c>
      <c r="T787" t="s">
        <v>74</v>
      </c>
      <c r="U787" t="s">
        <v>11103</v>
      </c>
      <c r="V787" t="s">
        <v>11104</v>
      </c>
      <c r="W787" t="s">
        <v>11105</v>
      </c>
      <c r="X787" t="s">
        <v>11106</v>
      </c>
      <c r="Y787" t="s">
        <v>11107</v>
      </c>
      <c r="Z787" t="s">
        <v>74</v>
      </c>
      <c r="AA787" t="s">
        <v>74</v>
      </c>
      <c r="AB787" t="s">
        <v>74</v>
      </c>
      <c r="AC787" t="s">
        <v>74</v>
      </c>
      <c r="AD787" t="s">
        <v>74</v>
      </c>
      <c r="AE787" t="s">
        <v>74</v>
      </c>
      <c r="AF787" t="s">
        <v>74</v>
      </c>
      <c r="AG787">
        <v>26</v>
      </c>
      <c r="AH787">
        <v>0</v>
      </c>
      <c r="AI787">
        <v>0</v>
      </c>
      <c r="AJ787">
        <v>0</v>
      </c>
      <c r="AK787">
        <v>0</v>
      </c>
      <c r="AL787" t="s">
        <v>9246</v>
      </c>
      <c r="AM787" t="s">
        <v>9247</v>
      </c>
      <c r="AN787" t="s">
        <v>9248</v>
      </c>
      <c r="AO787" t="s">
        <v>11108</v>
      </c>
      <c r="AP787" t="s">
        <v>74</v>
      </c>
      <c r="AQ787" t="s">
        <v>74</v>
      </c>
      <c r="AR787" t="s">
        <v>11109</v>
      </c>
      <c r="AS787" t="s">
        <v>11110</v>
      </c>
      <c r="AT787" t="s">
        <v>11111</v>
      </c>
      <c r="AU787">
        <v>2003</v>
      </c>
      <c r="AV787">
        <v>26</v>
      </c>
      <c r="AW787">
        <v>2</v>
      </c>
      <c r="AX787" t="s">
        <v>74</v>
      </c>
      <c r="AY787" t="s">
        <v>74</v>
      </c>
      <c r="AZ787" t="s">
        <v>74</v>
      </c>
      <c r="BA787" t="s">
        <v>74</v>
      </c>
      <c r="BB787">
        <v>159</v>
      </c>
      <c r="BC787">
        <v>176</v>
      </c>
      <c r="BD787" t="s">
        <v>74</v>
      </c>
      <c r="BE787" t="s">
        <v>74</v>
      </c>
      <c r="BF787" t="s">
        <v>74</v>
      </c>
      <c r="BG787" t="s">
        <v>74</v>
      </c>
      <c r="BH787" t="s">
        <v>74</v>
      </c>
      <c r="BI787">
        <v>18</v>
      </c>
      <c r="BJ787" t="s">
        <v>74</v>
      </c>
      <c r="BK787" t="s">
        <v>94</v>
      </c>
      <c r="BL787" t="s">
        <v>74</v>
      </c>
      <c r="BM787" t="s">
        <v>11112</v>
      </c>
      <c r="BN787" t="s">
        <v>74</v>
      </c>
      <c r="BO787" t="s">
        <v>74</v>
      </c>
      <c r="BP787" t="s">
        <v>74</v>
      </c>
      <c r="BQ787" t="s">
        <v>74</v>
      </c>
      <c r="BR787" t="s">
        <v>97</v>
      </c>
      <c r="BS787" t="s">
        <v>11113</v>
      </c>
      <c r="BT787" t="str">
        <f>HYPERLINK("https%3A%2F%2Fwww.webofscience.com%2Fwos%2Fwoscc%2Ffull-record%2FWOS:000184408200004","View Full Record in Web of Science")</f>
        <v>View Full Record in Web of Science</v>
      </c>
    </row>
    <row r="788" spans="1:72" x14ac:dyDescent="0.15">
      <c r="A788" t="s">
        <v>72</v>
      </c>
      <c r="B788" t="s">
        <v>11114</v>
      </c>
      <c r="C788" t="s">
        <v>74</v>
      </c>
      <c r="D788" t="s">
        <v>74</v>
      </c>
      <c r="E788" t="s">
        <v>74</v>
      </c>
      <c r="F788" t="s">
        <v>11114</v>
      </c>
      <c r="G788" t="s">
        <v>74</v>
      </c>
      <c r="H788" t="s">
        <v>74</v>
      </c>
      <c r="I788" t="s">
        <v>11115</v>
      </c>
      <c r="J788" t="s">
        <v>11102</v>
      </c>
      <c r="K788" t="s">
        <v>74</v>
      </c>
      <c r="L788" t="s">
        <v>74</v>
      </c>
      <c r="M788" t="s">
        <v>77</v>
      </c>
      <c r="N788" t="s">
        <v>78</v>
      </c>
      <c r="O788" t="s">
        <v>74</v>
      </c>
      <c r="P788" t="s">
        <v>74</v>
      </c>
      <c r="Q788" t="s">
        <v>74</v>
      </c>
      <c r="R788" t="s">
        <v>74</v>
      </c>
      <c r="S788" t="s">
        <v>74</v>
      </c>
      <c r="T788" t="s">
        <v>74</v>
      </c>
      <c r="U788" t="s">
        <v>11116</v>
      </c>
      <c r="V788" t="s">
        <v>11117</v>
      </c>
      <c r="W788" t="s">
        <v>11118</v>
      </c>
      <c r="X788" t="s">
        <v>11119</v>
      </c>
      <c r="Y788" t="s">
        <v>11120</v>
      </c>
      <c r="Z788" t="s">
        <v>74</v>
      </c>
      <c r="AA788" t="s">
        <v>74</v>
      </c>
      <c r="AB788" t="s">
        <v>11121</v>
      </c>
      <c r="AC788" t="s">
        <v>74</v>
      </c>
      <c r="AD788" t="s">
        <v>74</v>
      </c>
      <c r="AE788" t="s">
        <v>74</v>
      </c>
      <c r="AF788" t="s">
        <v>74</v>
      </c>
      <c r="AG788">
        <v>38</v>
      </c>
      <c r="AH788">
        <v>11</v>
      </c>
      <c r="AI788">
        <v>11</v>
      </c>
      <c r="AJ788">
        <v>0</v>
      </c>
      <c r="AK788">
        <v>1</v>
      </c>
      <c r="AL788" t="s">
        <v>9246</v>
      </c>
      <c r="AM788" t="s">
        <v>9247</v>
      </c>
      <c r="AN788" t="s">
        <v>9248</v>
      </c>
      <c r="AO788" t="s">
        <v>11108</v>
      </c>
      <c r="AP788" t="s">
        <v>74</v>
      </c>
      <c r="AQ788" t="s">
        <v>74</v>
      </c>
      <c r="AR788" t="s">
        <v>11109</v>
      </c>
      <c r="AS788" t="s">
        <v>11110</v>
      </c>
      <c r="AT788" t="s">
        <v>11111</v>
      </c>
      <c r="AU788">
        <v>2003</v>
      </c>
      <c r="AV788">
        <v>26</v>
      </c>
      <c r="AW788">
        <v>2</v>
      </c>
      <c r="AX788" t="s">
        <v>74</v>
      </c>
      <c r="AY788" t="s">
        <v>74</v>
      </c>
      <c r="AZ788" t="s">
        <v>74</v>
      </c>
      <c r="BA788" t="s">
        <v>74</v>
      </c>
      <c r="BB788">
        <v>177</v>
      </c>
      <c r="BC788">
        <v>189</v>
      </c>
      <c r="BD788" t="s">
        <v>74</v>
      </c>
      <c r="BE788" t="s">
        <v>74</v>
      </c>
      <c r="BF788" t="s">
        <v>74</v>
      </c>
      <c r="BG788" t="s">
        <v>74</v>
      </c>
      <c r="BH788" t="s">
        <v>74</v>
      </c>
      <c r="BI788">
        <v>13</v>
      </c>
      <c r="BJ788" t="s">
        <v>74</v>
      </c>
      <c r="BK788" t="s">
        <v>94</v>
      </c>
      <c r="BL788" t="s">
        <v>74</v>
      </c>
      <c r="BM788" t="s">
        <v>11112</v>
      </c>
      <c r="BN788" t="s">
        <v>74</v>
      </c>
      <c r="BO788" t="s">
        <v>74</v>
      </c>
      <c r="BP788" t="s">
        <v>74</v>
      </c>
      <c r="BQ788" t="s">
        <v>74</v>
      </c>
      <c r="BR788" t="s">
        <v>97</v>
      </c>
      <c r="BS788" t="s">
        <v>11122</v>
      </c>
      <c r="BT788" t="str">
        <f>HYPERLINK("https%3A%2F%2Fwww.webofscience.com%2Fwos%2Fwoscc%2Ffull-record%2FWOS:000184408200005","View Full Record in Web of Science")</f>
        <v>View Full Record in Web of Science</v>
      </c>
    </row>
    <row r="789" spans="1:72" x14ac:dyDescent="0.15">
      <c r="A789" t="s">
        <v>72</v>
      </c>
      <c r="B789" t="s">
        <v>11123</v>
      </c>
      <c r="C789" t="s">
        <v>74</v>
      </c>
      <c r="D789" t="s">
        <v>74</v>
      </c>
      <c r="E789" t="s">
        <v>74</v>
      </c>
      <c r="F789" t="s">
        <v>11123</v>
      </c>
      <c r="G789" t="s">
        <v>74</v>
      </c>
      <c r="H789" t="s">
        <v>74</v>
      </c>
      <c r="I789" t="s">
        <v>11124</v>
      </c>
      <c r="J789" t="s">
        <v>2372</v>
      </c>
      <c r="K789" t="s">
        <v>74</v>
      </c>
      <c r="L789" t="s">
        <v>74</v>
      </c>
      <c r="M789" t="s">
        <v>77</v>
      </c>
      <c r="N789" t="s">
        <v>78</v>
      </c>
      <c r="O789" t="s">
        <v>74</v>
      </c>
      <c r="P789" t="s">
        <v>74</v>
      </c>
      <c r="Q789" t="s">
        <v>74</v>
      </c>
      <c r="R789" t="s">
        <v>74</v>
      </c>
      <c r="S789" t="s">
        <v>74</v>
      </c>
      <c r="T789" t="s">
        <v>74</v>
      </c>
      <c r="U789" t="s">
        <v>11125</v>
      </c>
      <c r="V789" t="s">
        <v>11126</v>
      </c>
      <c r="W789" t="s">
        <v>11127</v>
      </c>
      <c r="X789" t="s">
        <v>11128</v>
      </c>
      <c r="Y789" t="s">
        <v>11129</v>
      </c>
      <c r="Z789" t="s">
        <v>74</v>
      </c>
      <c r="AA789" t="s">
        <v>11130</v>
      </c>
      <c r="AB789" t="s">
        <v>74</v>
      </c>
      <c r="AC789" t="s">
        <v>74</v>
      </c>
      <c r="AD789" t="s">
        <v>74</v>
      </c>
      <c r="AE789" t="s">
        <v>74</v>
      </c>
      <c r="AF789" t="s">
        <v>74</v>
      </c>
      <c r="AG789">
        <v>31</v>
      </c>
      <c r="AH789">
        <v>2</v>
      </c>
      <c r="AI789">
        <v>2</v>
      </c>
      <c r="AJ789">
        <v>0</v>
      </c>
      <c r="AK789">
        <v>1</v>
      </c>
      <c r="AL789" t="s">
        <v>1789</v>
      </c>
      <c r="AM789" t="s">
        <v>1790</v>
      </c>
      <c r="AN789" t="s">
        <v>1791</v>
      </c>
      <c r="AO789" t="s">
        <v>2380</v>
      </c>
      <c r="AP789" t="s">
        <v>74</v>
      </c>
      <c r="AQ789" t="s">
        <v>74</v>
      </c>
      <c r="AR789" t="s">
        <v>2382</v>
      </c>
      <c r="AS789" t="s">
        <v>2383</v>
      </c>
      <c r="AT789" t="s">
        <v>11111</v>
      </c>
      <c r="AU789">
        <v>2003</v>
      </c>
      <c r="AV789">
        <v>43</v>
      </c>
      <c r="AW789">
        <v>2</v>
      </c>
      <c r="AX789" t="s">
        <v>74</v>
      </c>
      <c r="AY789" t="s">
        <v>74</v>
      </c>
      <c r="AZ789" t="s">
        <v>74</v>
      </c>
      <c r="BA789" t="s">
        <v>74</v>
      </c>
      <c r="BB789">
        <v>247</v>
      </c>
      <c r="BC789">
        <v>257</v>
      </c>
      <c r="BD789" t="s">
        <v>74</v>
      </c>
      <c r="BE789" t="s">
        <v>74</v>
      </c>
      <c r="BF789" t="s">
        <v>74</v>
      </c>
      <c r="BG789" t="s">
        <v>74</v>
      </c>
      <c r="BH789" t="s">
        <v>74</v>
      </c>
      <c r="BI789">
        <v>11</v>
      </c>
      <c r="BJ789" t="s">
        <v>678</v>
      </c>
      <c r="BK789" t="s">
        <v>94</v>
      </c>
      <c r="BL789" t="s">
        <v>678</v>
      </c>
      <c r="BM789" t="s">
        <v>11131</v>
      </c>
      <c r="BN789" t="s">
        <v>74</v>
      </c>
      <c r="BO789" t="s">
        <v>74</v>
      </c>
      <c r="BP789" t="s">
        <v>74</v>
      </c>
      <c r="BQ789" t="s">
        <v>74</v>
      </c>
      <c r="BR789" t="s">
        <v>97</v>
      </c>
      <c r="BS789" t="s">
        <v>11132</v>
      </c>
      <c r="BT789" t="str">
        <f>HYPERLINK("https%3A%2F%2Fwww.webofscience.com%2Fwos%2Fwoscc%2Ffull-record%2FWOS:000182570200012","View Full Record in Web of Science")</f>
        <v>View Full Record in Web of Science</v>
      </c>
    </row>
    <row r="790" spans="1:72" x14ac:dyDescent="0.15">
      <c r="A790" t="s">
        <v>72</v>
      </c>
      <c r="B790" t="s">
        <v>11133</v>
      </c>
      <c r="C790" t="s">
        <v>74</v>
      </c>
      <c r="D790" t="s">
        <v>74</v>
      </c>
      <c r="E790" t="s">
        <v>74</v>
      </c>
      <c r="F790" t="s">
        <v>11133</v>
      </c>
      <c r="G790" t="s">
        <v>74</v>
      </c>
      <c r="H790" t="s">
        <v>74</v>
      </c>
      <c r="I790" t="s">
        <v>11134</v>
      </c>
      <c r="J790" t="s">
        <v>2372</v>
      </c>
      <c r="K790" t="s">
        <v>74</v>
      </c>
      <c r="L790" t="s">
        <v>74</v>
      </c>
      <c r="M790" t="s">
        <v>77</v>
      </c>
      <c r="N790" t="s">
        <v>78</v>
      </c>
      <c r="O790" t="s">
        <v>74</v>
      </c>
      <c r="P790" t="s">
        <v>74</v>
      </c>
      <c r="Q790" t="s">
        <v>74</v>
      </c>
      <c r="R790" t="s">
        <v>74</v>
      </c>
      <c r="S790" t="s">
        <v>74</v>
      </c>
      <c r="T790" t="s">
        <v>74</v>
      </c>
      <c r="U790" t="s">
        <v>11135</v>
      </c>
      <c r="V790" t="s">
        <v>11136</v>
      </c>
      <c r="W790" t="s">
        <v>11137</v>
      </c>
      <c r="X790" t="s">
        <v>11138</v>
      </c>
      <c r="Y790" t="s">
        <v>11139</v>
      </c>
      <c r="Z790" t="s">
        <v>74</v>
      </c>
      <c r="AA790" t="s">
        <v>11140</v>
      </c>
      <c r="AB790" t="s">
        <v>11141</v>
      </c>
      <c r="AC790" t="s">
        <v>74</v>
      </c>
      <c r="AD790" t="s">
        <v>74</v>
      </c>
      <c r="AE790" t="s">
        <v>74</v>
      </c>
      <c r="AF790" t="s">
        <v>74</v>
      </c>
      <c r="AG790">
        <v>26</v>
      </c>
      <c r="AH790">
        <v>6</v>
      </c>
      <c r="AI790">
        <v>6</v>
      </c>
      <c r="AJ790">
        <v>0</v>
      </c>
      <c r="AK790">
        <v>0</v>
      </c>
      <c r="AL790" t="s">
        <v>1789</v>
      </c>
      <c r="AM790" t="s">
        <v>1790</v>
      </c>
      <c r="AN790" t="s">
        <v>1791</v>
      </c>
      <c r="AO790" t="s">
        <v>2380</v>
      </c>
      <c r="AP790" t="s">
        <v>74</v>
      </c>
      <c r="AQ790" t="s">
        <v>74</v>
      </c>
      <c r="AR790" t="s">
        <v>2382</v>
      </c>
      <c r="AS790" t="s">
        <v>2383</v>
      </c>
      <c r="AT790" t="s">
        <v>11111</v>
      </c>
      <c r="AU790">
        <v>2003</v>
      </c>
      <c r="AV790">
        <v>43</v>
      </c>
      <c r="AW790">
        <v>2</v>
      </c>
      <c r="AX790" t="s">
        <v>74</v>
      </c>
      <c r="AY790" t="s">
        <v>74</v>
      </c>
      <c r="AZ790" t="s">
        <v>74</v>
      </c>
      <c r="BA790" t="s">
        <v>74</v>
      </c>
      <c r="BB790">
        <v>263</v>
      </c>
      <c r="BC790">
        <v>269</v>
      </c>
      <c r="BD790" t="s">
        <v>74</v>
      </c>
      <c r="BE790" t="s">
        <v>74</v>
      </c>
      <c r="BF790" t="s">
        <v>74</v>
      </c>
      <c r="BG790" t="s">
        <v>74</v>
      </c>
      <c r="BH790" t="s">
        <v>74</v>
      </c>
      <c r="BI790">
        <v>7</v>
      </c>
      <c r="BJ790" t="s">
        <v>678</v>
      </c>
      <c r="BK790" t="s">
        <v>94</v>
      </c>
      <c r="BL790" t="s">
        <v>678</v>
      </c>
      <c r="BM790" t="s">
        <v>11131</v>
      </c>
      <c r="BN790" t="s">
        <v>74</v>
      </c>
      <c r="BO790" t="s">
        <v>74</v>
      </c>
      <c r="BP790" t="s">
        <v>74</v>
      </c>
      <c r="BQ790" t="s">
        <v>74</v>
      </c>
      <c r="BR790" t="s">
        <v>97</v>
      </c>
      <c r="BS790" t="s">
        <v>11142</v>
      </c>
      <c r="BT790" t="str">
        <f>HYPERLINK("https%3A%2F%2Fwww.webofscience.com%2Fwos%2Fwoscc%2Ffull-record%2FWOS:000182570200014","View Full Record in Web of Science")</f>
        <v>View Full Record in Web of Science</v>
      </c>
    </row>
    <row r="791" spans="1:72" x14ac:dyDescent="0.15">
      <c r="A791" t="s">
        <v>72</v>
      </c>
      <c r="B791" t="s">
        <v>11143</v>
      </c>
      <c r="C791" t="s">
        <v>74</v>
      </c>
      <c r="D791" t="s">
        <v>74</v>
      </c>
      <c r="E791" t="s">
        <v>74</v>
      </c>
      <c r="F791" t="s">
        <v>11143</v>
      </c>
      <c r="G791" t="s">
        <v>74</v>
      </c>
      <c r="H791" t="s">
        <v>74</v>
      </c>
      <c r="I791" t="s">
        <v>11144</v>
      </c>
      <c r="J791" t="s">
        <v>8674</v>
      </c>
      <c r="K791" t="s">
        <v>74</v>
      </c>
      <c r="L791" t="s">
        <v>74</v>
      </c>
      <c r="M791" t="s">
        <v>77</v>
      </c>
      <c r="N791" t="s">
        <v>78</v>
      </c>
      <c r="O791" t="s">
        <v>74</v>
      </c>
      <c r="P791" t="s">
        <v>74</v>
      </c>
      <c r="Q791" t="s">
        <v>74</v>
      </c>
      <c r="R791" t="s">
        <v>74</v>
      </c>
      <c r="S791" t="s">
        <v>74</v>
      </c>
      <c r="T791" t="s">
        <v>11145</v>
      </c>
      <c r="U791" t="s">
        <v>11146</v>
      </c>
      <c r="V791" t="s">
        <v>11147</v>
      </c>
      <c r="W791" t="s">
        <v>11148</v>
      </c>
      <c r="X791" t="s">
        <v>11149</v>
      </c>
      <c r="Y791" t="s">
        <v>11150</v>
      </c>
      <c r="Z791" t="s">
        <v>74</v>
      </c>
      <c r="AA791" t="s">
        <v>11151</v>
      </c>
      <c r="AB791" t="s">
        <v>11152</v>
      </c>
      <c r="AC791" t="s">
        <v>74</v>
      </c>
      <c r="AD791" t="s">
        <v>74</v>
      </c>
      <c r="AE791" t="s">
        <v>74</v>
      </c>
      <c r="AF791" t="s">
        <v>74</v>
      </c>
      <c r="AG791">
        <v>36</v>
      </c>
      <c r="AH791">
        <v>74</v>
      </c>
      <c r="AI791">
        <v>80</v>
      </c>
      <c r="AJ791">
        <v>1</v>
      </c>
      <c r="AK791">
        <v>26</v>
      </c>
      <c r="AL791" t="s">
        <v>342</v>
      </c>
      <c r="AM791" t="s">
        <v>229</v>
      </c>
      <c r="AN791" t="s">
        <v>343</v>
      </c>
      <c r="AO791" t="s">
        <v>8679</v>
      </c>
      <c r="AP791" t="s">
        <v>74</v>
      </c>
      <c r="AQ791" t="s">
        <v>74</v>
      </c>
      <c r="AR791" t="s">
        <v>8674</v>
      </c>
      <c r="AS791" t="s">
        <v>8680</v>
      </c>
      <c r="AT791" t="s">
        <v>10390</v>
      </c>
      <c r="AU791">
        <v>2003</v>
      </c>
      <c r="AV791">
        <v>135</v>
      </c>
      <c r="AW791">
        <v>1</v>
      </c>
      <c r="AX791" t="s">
        <v>74</v>
      </c>
      <c r="AY791" t="s">
        <v>74</v>
      </c>
      <c r="AZ791" t="s">
        <v>74</v>
      </c>
      <c r="BA791" t="s">
        <v>74</v>
      </c>
      <c r="BB791">
        <v>30</v>
      </c>
      <c r="BC791">
        <v>38</v>
      </c>
      <c r="BD791" t="s">
        <v>74</v>
      </c>
      <c r="BE791" t="s">
        <v>11153</v>
      </c>
      <c r="BF791" t="str">
        <f>HYPERLINK("http://dx.doi.org/10.1007/s00442-002-1162-7","http://dx.doi.org/10.1007/s00442-002-1162-7")</f>
        <v>http://dx.doi.org/10.1007/s00442-002-1162-7</v>
      </c>
      <c r="BG791" t="s">
        <v>74</v>
      </c>
      <c r="BH791" t="s">
        <v>74</v>
      </c>
      <c r="BI791">
        <v>9</v>
      </c>
      <c r="BJ791" t="s">
        <v>3535</v>
      </c>
      <c r="BK791" t="s">
        <v>94</v>
      </c>
      <c r="BL791" t="s">
        <v>2512</v>
      </c>
      <c r="BM791" t="s">
        <v>11154</v>
      </c>
      <c r="BN791">
        <v>12647101</v>
      </c>
      <c r="BO791" t="s">
        <v>74</v>
      </c>
      <c r="BP791" t="s">
        <v>74</v>
      </c>
      <c r="BQ791" t="s">
        <v>74</v>
      </c>
      <c r="BR791" t="s">
        <v>97</v>
      </c>
      <c r="BS791" t="s">
        <v>11155</v>
      </c>
      <c r="BT791" t="str">
        <f>HYPERLINK("https%3A%2F%2Fwww.webofscience.com%2Fwos%2Fwoscc%2Ffull-record%2FWOS:000182497200004","View Full Record in Web of Science")</f>
        <v>View Full Record in Web of Science</v>
      </c>
    </row>
    <row r="792" spans="1:72" x14ac:dyDescent="0.15">
      <c r="A792" t="s">
        <v>72</v>
      </c>
      <c r="B792" t="s">
        <v>11156</v>
      </c>
      <c r="C792" t="s">
        <v>74</v>
      </c>
      <c r="D792" t="s">
        <v>74</v>
      </c>
      <c r="E792" t="s">
        <v>74</v>
      </c>
      <c r="F792" t="s">
        <v>11156</v>
      </c>
      <c r="G792" t="s">
        <v>74</v>
      </c>
      <c r="H792" t="s">
        <v>74</v>
      </c>
      <c r="I792" t="s">
        <v>11157</v>
      </c>
      <c r="J792" t="s">
        <v>316</v>
      </c>
      <c r="K792" t="s">
        <v>74</v>
      </c>
      <c r="L792" t="s">
        <v>74</v>
      </c>
      <c r="M792" t="s">
        <v>77</v>
      </c>
      <c r="N792" t="s">
        <v>78</v>
      </c>
      <c r="O792" t="s">
        <v>74</v>
      </c>
      <c r="P792" t="s">
        <v>74</v>
      </c>
      <c r="Q792" t="s">
        <v>74</v>
      </c>
      <c r="R792" t="s">
        <v>74</v>
      </c>
      <c r="S792" t="s">
        <v>74</v>
      </c>
      <c r="T792" t="s">
        <v>74</v>
      </c>
      <c r="U792" t="s">
        <v>74</v>
      </c>
      <c r="V792" t="s">
        <v>11158</v>
      </c>
      <c r="W792" t="s">
        <v>11159</v>
      </c>
      <c r="X792" t="s">
        <v>11160</v>
      </c>
      <c r="Y792" t="s">
        <v>11161</v>
      </c>
      <c r="Z792" t="s">
        <v>11162</v>
      </c>
      <c r="AA792" t="s">
        <v>74</v>
      </c>
      <c r="AB792" t="s">
        <v>74</v>
      </c>
      <c r="AC792" t="s">
        <v>74</v>
      </c>
      <c r="AD792" t="s">
        <v>74</v>
      </c>
      <c r="AE792" t="s">
        <v>74</v>
      </c>
      <c r="AF792" t="s">
        <v>74</v>
      </c>
      <c r="AG792">
        <v>26</v>
      </c>
      <c r="AH792">
        <v>4</v>
      </c>
      <c r="AI792">
        <v>4</v>
      </c>
      <c r="AJ792">
        <v>0</v>
      </c>
      <c r="AK792">
        <v>3</v>
      </c>
      <c r="AL792" t="s">
        <v>207</v>
      </c>
      <c r="AM792" t="s">
        <v>229</v>
      </c>
      <c r="AN792" t="s">
        <v>1592</v>
      </c>
      <c r="AO792" t="s">
        <v>324</v>
      </c>
      <c r="AP792" t="s">
        <v>325</v>
      </c>
      <c r="AQ792" t="s">
        <v>74</v>
      </c>
      <c r="AR792" t="s">
        <v>326</v>
      </c>
      <c r="AS792" t="s">
        <v>327</v>
      </c>
      <c r="AT792" t="s">
        <v>10390</v>
      </c>
      <c r="AU792">
        <v>2003</v>
      </c>
      <c r="AV792">
        <v>26</v>
      </c>
      <c r="AW792">
        <v>3</v>
      </c>
      <c r="AX792" t="s">
        <v>74</v>
      </c>
      <c r="AY792" t="s">
        <v>74</v>
      </c>
      <c r="AZ792" t="s">
        <v>74</v>
      </c>
      <c r="BA792" t="s">
        <v>74</v>
      </c>
      <c r="BB792">
        <v>143</v>
      </c>
      <c r="BC792">
        <v>150</v>
      </c>
      <c r="BD792" t="s">
        <v>74</v>
      </c>
      <c r="BE792" t="s">
        <v>11163</v>
      </c>
      <c r="BF792" t="str">
        <f>HYPERLINK("http://dx.doi.org/10.1007/s00300-002-0461-0","http://dx.doi.org/10.1007/s00300-002-0461-0")</f>
        <v>http://dx.doi.org/10.1007/s00300-002-0461-0</v>
      </c>
      <c r="BG792" t="s">
        <v>74</v>
      </c>
      <c r="BH792" t="s">
        <v>74</v>
      </c>
      <c r="BI792">
        <v>8</v>
      </c>
      <c r="BJ792" t="s">
        <v>329</v>
      </c>
      <c r="BK792" t="s">
        <v>94</v>
      </c>
      <c r="BL792" t="s">
        <v>330</v>
      </c>
      <c r="BM792" t="s">
        <v>11164</v>
      </c>
      <c r="BN792" t="s">
        <v>74</v>
      </c>
      <c r="BO792" t="s">
        <v>74</v>
      </c>
      <c r="BP792" t="s">
        <v>74</v>
      </c>
      <c r="BQ792" t="s">
        <v>74</v>
      </c>
      <c r="BR792" t="s">
        <v>97</v>
      </c>
      <c r="BS792" t="s">
        <v>11165</v>
      </c>
      <c r="BT792" t="str">
        <f>HYPERLINK("https%3A%2F%2Fwww.webofscience.com%2Fwos%2Fwoscc%2Ffull-record%2FWOS:000181676100001","View Full Record in Web of Science")</f>
        <v>View Full Record in Web of Science</v>
      </c>
    </row>
    <row r="793" spans="1:72" x14ac:dyDescent="0.15">
      <c r="A793" t="s">
        <v>72</v>
      </c>
      <c r="B793" t="s">
        <v>11166</v>
      </c>
      <c r="C793" t="s">
        <v>74</v>
      </c>
      <c r="D793" t="s">
        <v>74</v>
      </c>
      <c r="E793" t="s">
        <v>74</v>
      </c>
      <c r="F793" t="s">
        <v>11166</v>
      </c>
      <c r="G793" t="s">
        <v>74</v>
      </c>
      <c r="H793" t="s">
        <v>74</v>
      </c>
      <c r="I793" t="s">
        <v>11167</v>
      </c>
      <c r="J793" t="s">
        <v>316</v>
      </c>
      <c r="K793" t="s">
        <v>74</v>
      </c>
      <c r="L793" t="s">
        <v>74</v>
      </c>
      <c r="M793" t="s">
        <v>77</v>
      </c>
      <c r="N793" t="s">
        <v>78</v>
      </c>
      <c r="O793" t="s">
        <v>74</v>
      </c>
      <c r="P793" t="s">
        <v>74</v>
      </c>
      <c r="Q793" t="s">
        <v>74</v>
      </c>
      <c r="R793" t="s">
        <v>74</v>
      </c>
      <c r="S793" t="s">
        <v>74</v>
      </c>
      <c r="T793" t="s">
        <v>74</v>
      </c>
      <c r="U793" t="s">
        <v>11168</v>
      </c>
      <c r="V793" t="s">
        <v>11169</v>
      </c>
      <c r="W793" t="s">
        <v>11170</v>
      </c>
      <c r="X793" t="s">
        <v>3327</v>
      </c>
      <c r="Y793" t="s">
        <v>11171</v>
      </c>
      <c r="Z793" t="s">
        <v>11172</v>
      </c>
      <c r="AA793" t="s">
        <v>11173</v>
      </c>
      <c r="AB793" t="s">
        <v>74</v>
      </c>
      <c r="AC793" t="s">
        <v>74</v>
      </c>
      <c r="AD793" t="s">
        <v>74</v>
      </c>
      <c r="AE793" t="s">
        <v>74</v>
      </c>
      <c r="AF793" t="s">
        <v>74</v>
      </c>
      <c r="AG793">
        <v>35</v>
      </c>
      <c r="AH793">
        <v>9</v>
      </c>
      <c r="AI793">
        <v>9</v>
      </c>
      <c r="AJ793">
        <v>0</v>
      </c>
      <c r="AK793">
        <v>16</v>
      </c>
      <c r="AL793" t="s">
        <v>207</v>
      </c>
      <c r="AM793" t="s">
        <v>229</v>
      </c>
      <c r="AN793" t="s">
        <v>1592</v>
      </c>
      <c r="AO793" t="s">
        <v>324</v>
      </c>
      <c r="AP793" t="s">
        <v>325</v>
      </c>
      <c r="AQ793" t="s">
        <v>74</v>
      </c>
      <c r="AR793" t="s">
        <v>326</v>
      </c>
      <c r="AS793" t="s">
        <v>327</v>
      </c>
      <c r="AT793" t="s">
        <v>10390</v>
      </c>
      <c r="AU793">
        <v>2003</v>
      </c>
      <c r="AV793">
        <v>26</v>
      </c>
      <c r="AW793">
        <v>3</v>
      </c>
      <c r="AX793" t="s">
        <v>74</v>
      </c>
      <c r="AY793" t="s">
        <v>74</v>
      </c>
      <c r="AZ793" t="s">
        <v>74</v>
      </c>
      <c r="BA793" t="s">
        <v>74</v>
      </c>
      <c r="BB793">
        <v>151</v>
      </c>
      <c r="BC793">
        <v>156</v>
      </c>
      <c r="BD793" t="s">
        <v>74</v>
      </c>
      <c r="BE793" t="s">
        <v>11174</v>
      </c>
      <c r="BF793" t="str">
        <f>HYPERLINK("http://dx.doi.org/10.1007/s00300-002-0471-y","http://dx.doi.org/10.1007/s00300-002-0471-y")</f>
        <v>http://dx.doi.org/10.1007/s00300-002-0471-y</v>
      </c>
      <c r="BG793" t="s">
        <v>74</v>
      </c>
      <c r="BH793" t="s">
        <v>74</v>
      </c>
      <c r="BI793">
        <v>6</v>
      </c>
      <c r="BJ793" t="s">
        <v>329</v>
      </c>
      <c r="BK793" t="s">
        <v>94</v>
      </c>
      <c r="BL793" t="s">
        <v>330</v>
      </c>
      <c r="BM793" t="s">
        <v>11164</v>
      </c>
      <c r="BN793" t="s">
        <v>74</v>
      </c>
      <c r="BO793" t="s">
        <v>74</v>
      </c>
      <c r="BP793" t="s">
        <v>74</v>
      </c>
      <c r="BQ793" t="s">
        <v>74</v>
      </c>
      <c r="BR793" t="s">
        <v>97</v>
      </c>
      <c r="BS793" t="s">
        <v>11175</v>
      </c>
      <c r="BT793" t="str">
        <f>HYPERLINK("https%3A%2F%2Fwww.webofscience.com%2Fwos%2Fwoscc%2Ffull-record%2FWOS:000181676100002","View Full Record in Web of Science")</f>
        <v>View Full Record in Web of Science</v>
      </c>
    </row>
    <row r="794" spans="1:72" x14ac:dyDescent="0.15">
      <c r="A794" t="s">
        <v>72</v>
      </c>
      <c r="B794" t="s">
        <v>11176</v>
      </c>
      <c r="C794" t="s">
        <v>74</v>
      </c>
      <c r="D794" t="s">
        <v>74</v>
      </c>
      <c r="E794" t="s">
        <v>74</v>
      </c>
      <c r="F794" t="s">
        <v>11176</v>
      </c>
      <c r="G794" t="s">
        <v>74</v>
      </c>
      <c r="H794" t="s">
        <v>74</v>
      </c>
      <c r="I794" t="s">
        <v>11177</v>
      </c>
      <c r="J794" t="s">
        <v>316</v>
      </c>
      <c r="K794" t="s">
        <v>74</v>
      </c>
      <c r="L794" t="s">
        <v>74</v>
      </c>
      <c r="M794" t="s">
        <v>77</v>
      </c>
      <c r="N794" t="s">
        <v>78</v>
      </c>
      <c r="O794" t="s">
        <v>74</v>
      </c>
      <c r="P794" t="s">
        <v>74</v>
      </c>
      <c r="Q794" t="s">
        <v>74</v>
      </c>
      <c r="R794" t="s">
        <v>74</v>
      </c>
      <c r="S794" t="s">
        <v>74</v>
      </c>
      <c r="T794" t="s">
        <v>74</v>
      </c>
      <c r="U794" t="s">
        <v>11178</v>
      </c>
      <c r="V794" t="s">
        <v>11179</v>
      </c>
      <c r="W794" t="s">
        <v>11180</v>
      </c>
      <c r="X794" t="s">
        <v>11181</v>
      </c>
      <c r="Y794" t="s">
        <v>11182</v>
      </c>
      <c r="Z794" t="s">
        <v>11183</v>
      </c>
      <c r="AA794" t="s">
        <v>74</v>
      </c>
      <c r="AB794" t="s">
        <v>74</v>
      </c>
      <c r="AC794" t="s">
        <v>74</v>
      </c>
      <c r="AD794" t="s">
        <v>74</v>
      </c>
      <c r="AE794" t="s">
        <v>74</v>
      </c>
      <c r="AF794" t="s">
        <v>74</v>
      </c>
      <c r="AG794">
        <v>37</v>
      </c>
      <c r="AH794">
        <v>51</v>
      </c>
      <c r="AI794">
        <v>53</v>
      </c>
      <c r="AJ794">
        <v>0</v>
      </c>
      <c r="AK794">
        <v>18</v>
      </c>
      <c r="AL794" t="s">
        <v>207</v>
      </c>
      <c r="AM794" t="s">
        <v>229</v>
      </c>
      <c r="AN794" t="s">
        <v>323</v>
      </c>
      <c r="AO794" t="s">
        <v>324</v>
      </c>
      <c r="AP794" t="s">
        <v>325</v>
      </c>
      <c r="AQ794" t="s">
        <v>74</v>
      </c>
      <c r="AR794" t="s">
        <v>326</v>
      </c>
      <c r="AS794" t="s">
        <v>327</v>
      </c>
      <c r="AT794" t="s">
        <v>10390</v>
      </c>
      <c r="AU794">
        <v>2003</v>
      </c>
      <c r="AV794">
        <v>26</v>
      </c>
      <c r="AW794">
        <v>3</v>
      </c>
      <c r="AX794" t="s">
        <v>74</v>
      </c>
      <c r="AY794" t="s">
        <v>74</v>
      </c>
      <c r="AZ794" t="s">
        <v>74</v>
      </c>
      <c r="BA794" t="s">
        <v>74</v>
      </c>
      <c r="BB794">
        <v>157</v>
      </c>
      <c r="BC794">
        <v>165</v>
      </c>
      <c r="BD794" t="s">
        <v>74</v>
      </c>
      <c r="BE794" t="s">
        <v>11184</v>
      </c>
      <c r="BF794" t="str">
        <f>HYPERLINK("http://dx.doi.org/10.1007/s00300-002-0463-y","http://dx.doi.org/10.1007/s00300-002-0463-y")</f>
        <v>http://dx.doi.org/10.1007/s00300-002-0463-y</v>
      </c>
      <c r="BG794" t="s">
        <v>74</v>
      </c>
      <c r="BH794" t="s">
        <v>74</v>
      </c>
      <c r="BI794">
        <v>9</v>
      </c>
      <c r="BJ794" t="s">
        <v>329</v>
      </c>
      <c r="BK794" t="s">
        <v>94</v>
      </c>
      <c r="BL794" t="s">
        <v>330</v>
      </c>
      <c r="BM794" t="s">
        <v>11164</v>
      </c>
      <c r="BN794" t="s">
        <v>74</v>
      </c>
      <c r="BO794" t="s">
        <v>154</v>
      </c>
      <c r="BP794" t="s">
        <v>74</v>
      </c>
      <c r="BQ794" t="s">
        <v>74</v>
      </c>
      <c r="BR794" t="s">
        <v>97</v>
      </c>
      <c r="BS794" t="s">
        <v>11185</v>
      </c>
      <c r="BT794" t="str">
        <f>HYPERLINK("https%3A%2F%2Fwww.webofscience.com%2Fwos%2Fwoscc%2Ffull-record%2FWOS:000181676100003","View Full Record in Web of Science")</f>
        <v>View Full Record in Web of Science</v>
      </c>
    </row>
    <row r="795" spans="1:72" x14ac:dyDescent="0.15">
      <c r="A795" t="s">
        <v>72</v>
      </c>
      <c r="B795" t="s">
        <v>11186</v>
      </c>
      <c r="C795" t="s">
        <v>74</v>
      </c>
      <c r="D795" t="s">
        <v>74</v>
      </c>
      <c r="E795" t="s">
        <v>74</v>
      </c>
      <c r="F795" t="s">
        <v>11186</v>
      </c>
      <c r="G795" t="s">
        <v>74</v>
      </c>
      <c r="H795" t="s">
        <v>74</v>
      </c>
      <c r="I795" t="s">
        <v>11187</v>
      </c>
      <c r="J795" t="s">
        <v>316</v>
      </c>
      <c r="K795" t="s">
        <v>74</v>
      </c>
      <c r="L795" t="s">
        <v>74</v>
      </c>
      <c r="M795" t="s">
        <v>77</v>
      </c>
      <c r="N795" t="s">
        <v>78</v>
      </c>
      <c r="O795" t="s">
        <v>74</v>
      </c>
      <c r="P795" t="s">
        <v>74</v>
      </c>
      <c r="Q795" t="s">
        <v>74</v>
      </c>
      <c r="R795" t="s">
        <v>74</v>
      </c>
      <c r="S795" t="s">
        <v>74</v>
      </c>
      <c r="T795" t="s">
        <v>74</v>
      </c>
      <c r="U795" t="s">
        <v>11188</v>
      </c>
      <c r="V795" t="s">
        <v>11189</v>
      </c>
      <c r="W795" t="s">
        <v>11190</v>
      </c>
      <c r="X795" t="s">
        <v>4167</v>
      </c>
      <c r="Y795" t="s">
        <v>11191</v>
      </c>
      <c r="Z795" t="s">
        <v>11192</v>
      </c>
      <c r="AA795" t="s">
        <v>11193</v>
      </c>
      <c r="AB795" t="s">
        <v>11194</v>
      </c>
      <c r="AC795" t="s">
        <v>74</v>
      </c>
      <c r="AD795" t="s">
        <v>74</v>
      </c>
      <c r="AE795" t="s">
        <v>74</v>
      </c>
      <c r="AF795" t="s">
        <v>74</v>
      </c>
      <c r="AG795">
        <v>55</v>
      </c>
      <c r="AH795">
        <v>16</v>
      </c>
      <c r="AI795">
        <v>18</v>
      </c>
      <c r="AJ795">
        <v>0</v>
      </c>
      <c r="AK795">
        <v>3</v>
      </c>
      <c r="AL795" t="s">
        <v>342</v>
      </c>
      <c r="AM795" t="s">
        <v>229</v>
      </c>
      <c r="AN795" t="s">
        <v>343</v>
      </c>
      <c r="AO795" t="s">
        <v>324</v>
      </c>
      <c r="AP795" t="s">
        <v>74</v>
      </c>
      <c r="AQ795" t="s">
        <v>74</v>
      </c>
      <c r="AR795" t="s">
        <v>326</v>
      </c>
      <c r="AS795" t="s">
        <v>327</v>
      </c>
      <c r="AT795" t="s">
        <v>10390</v>
      </c>
      <c r="AU795">
        <v>2003</v>
      </c>
      <c r="AV795">
        <v>26</v>
      </c>
      <c r="AW795">
        <v>3</v>
      </c>
      <c r="AX795" t="s">
        <v>74</v>
      </c>
      <c r="AY795" t="s">
        <v>74</v>
      </c>
      <c r="AZ795" t="s">
        <v>74</v>
      </c>
      <c r="BA795" t="s">
        <v>74</v>
      </c>
      <c r="BB795">
        <v>166</v>
      </c>
      <c r="BC795">
        <v>170</v>
      </c>
      <c r="BD795" t="s">
        <v>74</v>
      </c>
      <c r="BE795" t="s">
        <v>11195</v>
      </c>
      <c r="BF795" t="str">
        <f>HYPERLINK("http://dx.doi.org/10.1007/s00300-002-0467-7","http://dx.doi.org/10.1007/s00300-002-0467-7")</f>
        <v>http://dx.doi.org/10.1007/s00300-002-0467-7</v>
      </c>
      <c r="BG795" t="s">
        <v>74</v>
      </c>
      <c r="BH795" t="s">
        <v>74</v>
      </c>
      <c r="BI795">
        <v>5</v>
      </c>
      <c r="BJ795" t="s">
        <v>329</v>
      </c>
      <c r="BK795" t="s">
        <v>94</v>
      </c>
      <c r="BL795" t="s">
        <v>330</v>
      </c>
      <c r="BM795" t="s">
        <v>11164</v>
      </c>
      <c r="BN795" t="s">
        <v>74</v>
      </c>
      <c r="BO795" t="s">
        <v>74</v>
      </c>
      <c r="BP795" t="s">
        <v>74</v>
      </c>
      <c r="BQ795" t="s">
        <v>74</v>
      </c>
      <c r="BR795" t="s">
        <v>97</v>
      </c>
      <c r="BS795" t="s">
        <v>11196</v>
      </c>
      <c r="BT795" t="str">
        <f>HYPERLINK("https%3A%2F%2Fwww.webofscience.com%2Fwos%2Fwoscc%2Ffull-record%2FWOS:000181676100004","View Full Record in Web of Science")</f>
        <v>View Full Record in Web of Science</v>
      </c>
    </row>
    <row r="796" spans="1:72" x14ac:dyDescent="0.15">
      <c r="A796" t="s">
        <v>72</v>
      </c>
      <c r="B796" t="s">
        <v>11197</v>
      </c>
      <c r="C796" t="s">
        <v>74</v>
      </c>
      <c r="D796" t="s">
        <v>74</v>
      </c>
      <c r="E796" t="s">
        <v>74</v>
      </c>
      <c r="F796" t="s">
        <v>11197</v>
      </c>
      <c r="G796" t="s">
        <v>74</v>
      </c>
      <c r="H796" t="s">
        <v>74</v>
      </c>
      <c r="I796" t="s">
        <v>11198</v>
      </c>
      <c r="J796" t="s">
        <v>316</v>
      </c>
      <c r="K796" t="s">
        <v>74</v>
      </c>
      <c r="L796" t="s">
        <v>74</v>
      </c>
      <c r="M796" t="s">
        <v>77</v>
      </c>
      <c r="N796" t="s">
        <v>78</v>
      </c>
      <c r="O796" t="s">
        <v>74</v>
      </c>
      <c r="P796" t="s">
        <v>74</v>
      </c>
      <c r="Q796" t="s">
        <v>74</v>
      </c>
      <c r="R796" t="s">
        <v>74</v>
      </c>
      <c r="S796" t="s">
        <v>74</v>
      </c>
      <c r="T796" t="s">
        <v>74</v>
      </c>
      <c r="U796" t="s">
        <v>11199</v>
      </c>
      <c r="V796" t="s">
        <v>11200</v>
      </c>
      <c r="W796" t="s">
        <v>11201</v>
      </c>
      <c r="X796" t="s">
        <v>11202</v>
      </c>
      <c r="Y796" t="s">
        <v>11203</v>
      </c>
      <c r="Z796" t="s">
        <v>11204</v>
      </c>
      <c r="AA796" t="s">
        <v>11205</v>
      </c>
      <c r="AB796" t="s">
        <v>11206</v>
      </c>
      <c r="AC796" t="s">
        <v>74</v>
      </c>
      <c r="AD796" t="s">
        <v>74</v>
      </c>
      <c r="AE796" t="s">
        <v>74</v>
      </c>
      <c r="AF796" t="s">
        <v>74</v>
      </c>
      <c r="AG796">
        <v>16</v>
      </c>
      <c r="AH796">
        <v>7</v>
      </c>
      <c r="AI796">
        <v>15</v>
      </c>
      <c r="AJ796">
        <v>1</v>
      </c>
      <c r="AK796">
        <v>11</v>
      </c>
      <c r="AL796" t="s">
        <v>207</v>
      </c>
      <c r="AM796" t="s">
        <v>229</v>
      </c>
      <c r="AN796" t="s">
        <v>1592</v>
      </c>
      <c r="AO796" t="s">
        <v>324</v>
      </c>
      <c r="AP796" t="s">
        <v>325</v>
      </c>
      <c r="AQ796" t="s">
        <v>74</v>
      </c>
      <c r="AR796" t="s">
        <v>326</v>
      </c>
      <c r="AS796" t="s">
        <v>327</v>
      </c>
      <c r="AT796" t="s">
        <v>10390</v>
      </c>
      <c r="AU796">
        <v>2003</v>
      </c>
      <c r="AV796">
        <v>26</v>
      </c>
      <c r="AW796">
        <v>3</v>
      </c>
      <c r="AX796" t="s">
        <v>74</v>
      </c>
      <c r="AY796" t="s">
        <v>74</v>
      </c>
      <c r="AZ796" t="s">
        <v>74</v>
      </c>
      <c r="BA796" t="s">
        <v>74</v>
      </c>
      <c r="BB796">
        <v>171</v>
      </c>
      <c r="BC796">
        <v>177</v>
      </c>
      <c r="BD796" t="s">
        <v>74</v>
      </c>
      <c r="BE796" t="s">
        <v>11207</v>
      </c>
      <c r="BF796" t="str">
        <f>HYPERLINK("http://dx.doi.org/10.1007/s00300-002-0466-8","http://dx.doi.org/10.1007/s00300-002-0466-8")</f>
        <v>http://dx.doi.org/10.1007/s00300-002-0466-8</v>
      </c>
      <c r="BG796" t="s">
        <v>74</v>
      </c>
      <c r="BH796" t="s">
        <v>74</v>
      </c>
      <c r="BI796">
        <v>7</v>
      </c>
      <c r="BJ796" t="s">
        <v>329</v>
      </c>
      <c r="BK796" t="s">
        <v>94</v>
      </c>
      <c r="BL796" t="s">
        <v>330</v>
      </c>
      <c r="BM796" t="s">
        <v>11164</v>
      </c>
      <c r="BN796" t="s">
        <v>74</v>
      </c>
      <c r="BO796" t="s">
        <v>74</v>
      </c>
      <c r="BP796" t="s">
        <v>74</v>
      </c>
      <c r="BQ796" t="s">
        <v>74</v>
      </c>
      <c r="BR796" t="s">
        <v>97</v>
      </c>
      <c r="BS796" t="s">
        <v>11208</v>
      </c>
      <c r="BT796" t="str">
        <f>HYPERLINK("https%3A%2F%2Fwww.webofscience.com%2Fwos%2Fwoscc%2Ffull-record%2FWOS:000181676100005","View Full Record in Web of Science")</f>
        <v>View Full Record in Web of Science</v>
      </c>
    </row>
    <row r="797" spans="1:72" x14ac:dyDescent="0.15">
      <c r="A797" t="s">
        <v>72</v>
      </c>
      <c r="B797" t="s">
        <v>11209</v>
      </c>
      <c r="C797" t="s">
        <v>74</v>
      </c>
      <c r="D797" t="s">
        <v>74</v>
      </c>
      <c r="E797" t="s">
        <v>74</v>
      </c>
      <c r="F797" t="s">
        <v>11209</v>
      </c>
      <c r="G797" t="s">
        <v>74</v>
      </c>
      <c r="H797" t="s">
        <v>74</v>
      </c>
      <c r="I797" t="s">
        <v>11210</v>
      </c>
      <c r="J797" t="s">
        <v>316</v>
      </c>
      <c r="K797" t="s">
        <v>74</v>
      </c>
      <c r="L797" t="s">
        <v>74</v>
      </c>
      <c r="M797" t="s">
        <v>77</v>
      </c>
      <c r="N797" t="s">
        <v>78</v>
      </c>
      <c r="O797" t="s">
        <v>74</v>
      </c>
      <c r="P797" t="s">
        <v>74</v>
      </c>
      <c r="Q797" t="s">
        <v>74</v>
      </c>
      <c r="R797" t="s">
        <v>74</v>
      </c>
      <c r="S797" t="s">
        <v>74</v>
      </c>
      <c r="T797" t="s">
        <v>74</v>
      </c>
      <c r="U797" t="s">
        <v>11211</v>
      </c>
      <c r="V797" t="s">
        <v>11212</v>
      </c>
      <c r="W797" t="s">
        <v>11213</v>
      </c>
      <c r="X797" t="s">
        <v>11214</v>
      </c>
      <c r="Y797" t="s">
        <v>11215</v>
      </c>
      <c r="Z797" t="s">
        <v>11216</v>
      </c>
      <c r="AA797" t="s">
        <v>11217</v>
      </c>
      <c r="AB797" t="s">
        <v>11218</v>
      </c>
      <c r="AC797" t="s">
        <v>74</v>
      </c>
      <c r="AD797" t="s">
        <v>74</v>
      </c>
      <c r="AE797" t="s">
        <v>74</v>
      </c>
      <c r="AF797" t="s">
        <v>74</v>
      </c>
      <c r="AG797">
        <v>52</v>
      </c>
      <c r="AH797">
        <v>2</v>
      </c>
      <c r="AI797">
        <v>2</v>
      </c>
      <c r="AJ797">
        <v>0</v>
      </c>
      <c r="AK797">
        <v>5</v>
      </c>
      <c r="AL797" t="s">
        <v>342</v>
      </c>
      <c r="AM797" t="s">
        <v>229</v>
      </c>
      <c r="AN797" t="s">
        <v>343</v>
      </c>
      <c r="AO797" t="s">
        <v>324</v>
      </c>
      <c r="AP797" t="s">
        <v>74</v>
      </c>
      <c r="AQ797" t="s">
        <v>74</v>
      </c>
      <c r="AR797" t="s">
        <v>326</v>
      </c>
      <c r="AS797" t="s">
        <v>327</v>
      </c>
      <c r="AT797" t="s">
        <v>10390</v>
      </c>
      <c r="AU797">
        <v>2003</v>
      </c>
      <c r="AV797">
        <v>26</v>
      </c>
      <c r="AW797">
        <v>3</v>
      </c>
      <c r="AX797" t="s">
        <v>74</v>
      </c>
      <c r="AY797" t="s">
        <v>74</v>
      </c>
      <c r="AZ797" t="s">
        <v>74</v>
      </c>
      <c r="BA797" t="s">
        <v>74</v>
      </c>
      <c r="BB797">
        <v>178</v>
      </c>
      <c r="BC797">
        <v>185</v>
      </c>
      <c r="BD797" t="s">
        <v>74</v>
      </c>
      <c r="BE797" t="s">
        <v>11219</v>
      </c>
      <c r="BF797" t="str">
        <f>HYPERLINK("http://dx.doi.org/10.1007/s00300-002-0460-1","http://dx.doi.org/10.1007/s00300-002-0460-1")</f>
        <v>http://dx.doi.org/10.1007/s00300-002-0460-1</v>
      </c>
      <c r="BG797" t="s">
        <v>74</v>
      </c>
      <c r="BH797" t="s">
        <v>74</v>
      </c>
      <c r="BI797">
        <v>8</v>
      </c>
      <c r="BJ797" t="s">
        <v>329</v>
      </c>
      <c r="BK797" t="s">
        <v>94</v>
      </c>
      <c r="BL797" t="s">
        <v>330</v>
      </c>
      <c r="BM797" t="s">
        <v>11164</v>
      </c>
      <c r="BN797" t="s">
        <v>74</v>
      </c>
      <c r="BO797" t="s">
        <v>74</v>
      </c>
      <c r="BP797" t="s">
        <v>74</v>
      </c>
      <c r="BQ797" t="s">
        <v>74</v>
      </c>
      <c r="BR797" t="s">
        <v>97</v>
      </c>
      <c r="BS797" t="s">
        <v>11220</v>
      </c>
      <c r="BT797" t="str">
        <f>HYPERLINK("https%3A%2F%2Fwww.webofscience.com%2Fwos%2Fwoscc%2Ffull-record%2FWOS:000181676100006","View Full Record in Web of Science")</f>
        <v>View Full Record in Web of Science</v>
      </c>
    </row>
    <row r="798" spans="1:72" x14ac:dyDescent="0.15">
      <c r="A798" t="s">
        <v>72</v>
      </c>
      <c r="B798" t="s">
        <v>11221</v>
      </c>
      <c r="C798" t="s">
        <v>74</v>
      </c>
      <c r="D798" t="s">
        <v>74</v>
      </c>
      <c r="E798" t="s">
        <v>74</v>
      </c>
      <c r="F798" t="s">
        <v>11221</v>
      </c>
      <c r="G798" t="s">
        <v>74</v>
      </c>
      <c r="H798" t="s">
        <v>74</v>
      </c>
      <c r="I798" t="s">
        <v>11222</v>
      </c>
      <c r="J798" t="s">
        <v>316</v>
      </c>
      <c r="K798" t="s">
        <v>74</v>
      </c>
      <c r="L798" t="s">
        <v>74</v>
      </c>
      <c r="M798" t="s">
        <v>77</v>
      </c>
      <c r="N798" t="s">
        <v>78</v>
      </c>
      <c r="O798" t="s">
        <v>74</v>
      </c>
      <c r="P798" t="s">
        <v>74</v>
      </c>
      <c r="Q798" t="s">
        <v>74</v>
      </c>
      <c r="R798" t="s">
        <v>74</v>
      </c>
      <c r="S798" t="s">
        <v>74</v>
      </c>
      <c r="T798" t="s">
        <v>74</v>
      </c>
      <c r="U798" t="s">
        <v>11223</v>
      </c>
      <c r="V798" t="s">
        <v>11224</v>
      </c>
      <c r="W798" t="s">
        <v>11225</v>
      </c>
      <c r="X798" t="s">
        <v>11226</v>
      </c>
      <c r="Y798" t="s">
        <v>11227</v>
      </c>
      <c r="Z798" t="s">
        <v>11228</v>
      </c>
      <c r="AA798" t="s">
        <v>11229</v>
      </c>
      <c r="AB798" t="s">
        <v>11230</v>
      </c>
      <c r="AC798" t="s">
        <v>74</v>
      </c>
      <c r="AD798" t="s">
        <v>74</v>
      </c>
      <c r="AE798" t="s">
        <v>74</v>
      </c>
      <c r="AF798" t="s">
        <v>74</v>
      </c>
      <c r="AG798">
        <v>66</v>
      </c>
      <c r="AH798">
        <v>108</v>
      </c>
      <c r="AI798">
        <v>113</v>
      </c>
      <c r="AJ798">
        <v>0</v>
      </c>
      <c r="AK798">
        <v>30</v>
      </c>
      <c r="AL798" t="s">
        <v>207</v>
      </c>
      <c r="AM798" t="s">
        <v>229</v>
      </c>
      <c r="AN798" t="s">
        <v>323</v>
      </c>
      <c r="AO798" t="s">
        <v>324</v>
      </c>
      <c r="AP798" t="s">
        <v>325</v>
      </c>
      <c r="AQ798" t="s">
        <v>74</v>
      </c>
      <c r="AR798" t="s">
        <v>326</v>
      </c>
      <c r="AS798" t="s">
        <v>327</v>
      </c>
      <c r="AT798" t="s">
        <v>10390</v>
      </c>
      <c r="AU798">
        <v>2003</v>
      </c>
      <c r="AV798">
        <v>26</v>
      </c>
      <c r="AW798">
        <v>3</v>
      </c>
      <c r="AX798" t="s">
        <v>74</v>
      </c>
      <c r="AY798" t="s">
        <v>74</v>
      </c>
      <c r="AZ798" t="s">
        <v>74</v>
      </c>
      <c r="BA798" t="s">
        <v>74</v>
      </c>
      <c r="BB798">
        <v>186</v>
      </c>
      <c r="BC798">
        <v>194</v>
      </c>
      <c r="BD798" t="s">
        <v>74</v>
      </c>
      <c r="BE798" t="s">
        <v>11231</v>
      </c>
      <c r="BF798" t="str">
        <f>HYPERLINK("http://dx.doi.org/10.1007/s00300-002-0473-9","http://dx.doi.org/10.1007/s00300-002-0473-9")</f>
        <v>http://dx.doi.org/10.1007/s00300-002-0473-9</v>
      </c>
      <c r="BG798" t="s">
        <v>74</v>
      </c>
      <c r="BH798" t="s">
        <v>74</v>
      </c>
      <c r="BI798">
        <v>9</v>
      </c>
      <c r="BJ798" t="s">
        <v>329</v>
      </c>
      <c r="BK798" t="s">
        <v>94</v>
      </c>
      <c r="BL798" t="s">
        <v>330</v>
      </c>
      <c r="BM798" t="s">
        <v>11164</v>
      </c>
      <c r="BN798" t="s">
        <v>74</v>
      </c>
      <c r="BO798" t="s">
        <v>974</v>
      </c>
      <c r="BP798" t="s">
        <v>74</v>
      </c>
      <c r="BQ798" t="s">
        <v>74</v>
      </c>
      <c r="BR798" t="s">
        <v>97</v>
      </c>
      <c r="BS798" t="s">
        <v>11232</v>
      </c>
      <c r="BT798" t="str">
        <f>HYPERLINK("https%3A%2F%2Fwww.webofscience.com%2Fwos%2Fwoscc%2Ffull-record%2FWOS:000181676100007","View Full Record in Web of Science")</f>
        <v>View Full Record in Web of Science</v>
      </c>
    </row>
    <row r="799" spans="1:72" x14ac:dyDescent="0.15">
      <c r="A799" t="s">
        <v>72</v>
      </c>
      <c r="B799" t="s">
        <v>11233</v>
      </c>
      <c r="C799" t="s">
        <v>74</v>
      </c>
      <c r="D799" t="s">
        <v>74</v>
      </c>
      <c r="E799" t="s">
        <v>74</v>
      </c>
      <c r="F799" t="s">
        <v>11233</v>
      </c>
      <c r="G799" t="s">
        <v>74</v>
      </c>
      <c r="H799" t="s">
        <v>74</v>
      </c>
      <c r="I799" t="s">
        <v>11234</v>
      </c>
      <c r="J799" t="s">
        <v>316</v>
      </c>
      <c r="K799" t="s">
        <v>74</v>
      </c>
      <c r="L799" t="s">
        <v>74</v>
      </c>
      <c r="M799" t="s">
        <v>77</v>
      </c>
      <c r="N799" t="s">
        <v>78</v>
      </c>
      <c r="O799" t="s">
        <v>74</v>
      </c>
      <c r="P799" t="s">
        <v>74</v>
      </c>
      <c r="Q799" t="s">
        <v>74</v>
      </c>
      <c r="R799" t="s">
        <v>74</v>
      </c>
      <c r="S799" t="s">
        <v>74</v>
      </c>
      <c r="T799" t="s">
        <v>74</v>
      </c>
      <c r="U799" t="s">
        <v>11235</v>
      </c>
      <c r="V799" t="s">
        <v>11236</v>
      </c>
      <c r="W799" t="s">
        <v>11237</v>
      </c>
      <c r="X799" t="s">
        <v>11238</v>
      </c>
      <c r="Y799" t="s">
        <v>11239</v>
      </c>
      <c r="Z799" t="s">
        <v>11240</v>
      </c>
      <c r="AA799" t="s">
        <v>74</v>
      </c>
      <c r="AB799" t="s">
        <v>74</v>
      </c>
      <c r="AC799" t="s">
        <v>74</v>
      </c>
      <c r="AD799" t="s">
        <v>74</v>
      </c>
      <c r="AE799" t="s">
        <v>74</v>
      </c>
      <c r="AF799" t="s">
        <v>74</v>
      </c>
      <c r="AG799">
        <v>35</v>
      </c>
      <c r="AH799">
        <v>18</v>
      </c>
      <c r="AI799">
        <v>18</v>
      </c>
      <c r="AJ799">
        <v>1</v>
      </c>
      <c r="AK799">
        <v>11</v>
      </c>
      <c r="AL799" t="s">
        <v>207</v>
      </c>
      <c r="AM799" t="s">
        <v>229</v>
      </c>
      <c r="AN799" t="s">
        <v>1592</v>
      </c>
      <c r="AO799" t="s">
        <v>324</v>
      </c>
      <c r="AP799" t="s">
        <v>325</v>
      </c>
      <c r="AQ799" t="s">
        <v>74</v>
      </c>
      <c r="AR799" t="s">
        <v>326</v>
      </c>
      <c r="AS799" t="s">
        <v>327</v>
      </c>
      <c r="AT799" t="s">
        <v>10390</v>
      </c>
      <c r="AU799">
        <v>2003</v>
      </c>
      <c r="AV799">
        <v>26</v>
      </c>
      <c r="AW799">
        <v>3</v>
      </c>
      <c r="AX799" t="s">
        <v>74</v>
      </c>
      <c r="AY799" t="s">
        <v>74</v>
      </c>
      <c r="AZ799" t="s">
        <v>74</v>
      </c>
      <c r="BA799" t="s">
        <v>74</v>
      </c>
      <c r="BB799">
        <v>195</v>
      </c>
      <c r="BC799">
        <v>201</v>
      </c>
      <c r="BD799" t="s">
        <v>74</v>
      </c>
      <c r="BE799" t="s">
        <v>11241</v>
      </c>
      <c r="BF799" t="str">
        <f>HYPERLINK("http://dx.doi.org/10.1007/s00300-002-0456-x","http://dx.doi.org/10.1007/s00300-002-0456-x")</f>
        <v>http://dx.doi.org/10.1007/s00300-002-0456-x</v>
      </c>
      <c r="BG799" t="s">
        <v>74</v>
      </c>
      <c r="BH799" t="s">
        <v>74</v>
      </c>
      <c r="BI799">
        <v>7</v>
      </c>
      <c r="BJ799" t="s">
        <v>329</v>
      </c>
      <c r="BK799" t="s">
        <v>94</v>
      </c>
      <c r="BL799" t="s">
        <v>330</v>
      </c>
      <c r="BM799" t="s">
        <v>11164</v>
      </c>
      <c r="BN799" t="s">
        <v>74</v>
      </c>
      <c r="BO799" t="s">
        <v>74</v>
      </c>
      <c r="BP799" t="s">
        <v>74</v>
      </c>
      <c r="BQ799" t="s">
        <v>74</v>
      </c>
      <c r="BR799" t="s">
        <v>97</v>
      </c>
      <c r="BS799" t="s">
        <v>11242</v>
      </c>
      <c r="BT799" t="str">
        <f>HYPERLINK("https%3A%2F%2Fwww.webofscience.com%2Fwos%2Fwoscc%2Ffull-record%2FWOS:000181676100008","View Full Record in Web of Science")</f>
        <v>View Full Record in Web of Science</v>
      </c>
    </row>
    <row r="800" spans="1:72" x14ac:dyDescent="0.15">
      <c r="A800" t="s">
        <v>72</v>
      </c>
      <c r="B800" t="s">
        <v>11243</v>
      </c>
      <c r="C800" t="s">
        <v>74</v>
      </c>
      <c r="D800" t="s">
        <v>74</v>
      </c>
      <c r="E800" t="s">
        <v>74</v>
      </c>
      <c r="F800" t="s">
        <v>11243</v>
      </c>
      <c r="G800" t="s">
        <v>74</v>
      </c>
      <c r="H800" t="s">
        <v>74</v>
      </c>
      <c r="I800" t="s">
        <v>11244</v>
      </c>
      <c r="J800" t="s">
        <v>316</v>
      </c>
      <c r="K800" t="s">
        <v>74</v>
      </c>
      <c r="L800" t="s">
        <v>74</v>
      </c>
      <c r="M800" t="s">
        <v>77</v>
      </c>
      <c r="N800" t="s">
        <v>78</v>
      </c>
      <c r="O800" t="s">
        <v>74</v>
      </c>
      <c r="P800" t="s">
        <v>74</v>
      </c>
      <c r="Q800" t="s">
        <v>74</v>
      </c>
      <c r="R800" t="s">
        <v>74</v>
      </c>
      <c r="S800" t="s">
        <v>74</v>
      </c>
      <c r="T800" t="s">
        <v>74</v>
      </c>
      <c r="U800" t="s">
        <v>11245</v>
      </c>
      <c r="V800" t="s">
        <v>11246</v>
      </c>
      <c r="W800" t="s">
        <v>11247</v>
      </c>
      <c r="X800" t="s">
        <v>11248</v>
      </c>
      <c r="Y800" t="s">
        <v>4920</v>
      </c>
      <c r="Z800" t="s">
        <v>11249</v>
      </c>
      <c r="AA800" t="s">
        <v>11250</v>
      </c>
      <c r="AB800" t="s">
        <v>11251</v>
      </c>
      <c r="AC800" t="s">
        <v>74</v>
      </c>
      <c r="AD800" t="s">
        <v>74</v>
      </c>
      <c r="AE800" t="s">
        <v>74</v>
      </c>
      <c r="AF800" t="s">
        <v>74</v>
      </c>
      <c r="AG800">
        <v>34</v>
      </c>
      <c r="AH800">
        <v>46</v>
      </c>
      <c r="AI800">
        <v>52</v>
      </c>
      <c r="AJ800">
        <v>0</v>
      </c>
      <c r="AK800">
        <v>9</v>
      </c>
      <c r="AL800" t="s">
        <v>207</v>
      </c>
      <c r="AM800" t="s">
        <v>229</v>
      </c>
      <c r="AN800" t="s">
        <v>323</v>
      </c>
      <c r="AO800" t="s">
        <v>324</v>
      </c>
      <c r="AP800" t="s">
        <v>325</v>
      </c>
      <c r="AQ800" t="s">
        <v>74</v>
      </c>
      <c r="AR800" t="s">
        <v>326</v>
      </c>
      <c r="AS800" t="s">
        <v>327</v>
      </c>
      <c r="AT800" t="s">
        <v>10390</v>
      </c>
      <c r="AU800">
        <v>2003</v>
      </c>
      <c r="AV800">
        <v>26</v>
      </c>
      <c r="AW800">
        <v>3</v>
      </c>
      <c r="AX800" t="s">
        <v>74</v>
      </c>
      <c r="AY800" t="s">
        <v>74</v>
      </c>
      <c r="AZ800" t="s">
        <v>74</v>
      </c>
      <c r="BA800" t="s">
        <v>74</v>
      </c>
      <c r="BB800">
        <v>202</v>
      </c>
      <c r="BC800">
        <v>207</v>
      </c>
      <c r="BD800" t="s">
        <v>74</v>
      </c>
      <c r="BE800" t="s">
        <v>11252</v>
      </c>
      <c r="BF800" t="str">
        <f>HYPERLINK("http://dx.doi.org/10.1007/s00300-002-0465-9","http://dx.doi.org/10.1007/s00300-002-0465-9")</f>
        <v>http://dx.doi.org/10.1007/s00300-002-0465-9</v>
      </c>
      <c r="BG800" t="s">
        <v>74</v>
      </c>
      <c r="BH800" t="s">
        <v>74</v>
      </c>
      <c r="BI800">
        <v>6</v>
      </c>
      <c r="BJ800" t="s">
        <v>329</v>
      </c>
      <c r="BK800" t="s">
        <v>94</v>
      </c>
      <c r="BL800" t="s">
        <v>330</v>
      </c>
      <c r="BM800" t="s">
        <v>11164</v>
      </c>
      <c r="BN800" t="s">
        <v>74</v>
      </c>
      <c r="BO800" t="s">
        <v>74</v>
      </c>
      <c r="BP800" t="s">
        <v>74</v>
      </c>
      <c r="BQ800" t="s">
        <v>74</v>
      </c>
      <c r="BR800" t="s">
        <v>97</v>
      </c>
      <c r="BS800" t="s">
        <v>11253</v>
      </c>
      <c r="BT800" t="str">
        <f>HYPERLINK("https%3A%2F%2Fwww.webofscience.com%2Fwos%2Fwoscc%2Ffull-record%2FWOS:000181676100009","View Full Record in Web of Science")</f>
        <v>View Full Record in Web of Science</v>
      </c>
    </row>
    <row r="801" spans="1:72" x14ac:dyDescent="0.15">
      <c r="A801" t="s">
        <v>72</v>
      </c>
      <c r="B801" t="s">
        <v>11254</v>
      </c>
      <c r="C801" t="s">
        <v>74</v>
      </c>
      <c r="D801" t="s">
        <v>74</v>
      </c>
      <c r="E801" t="s">
        <v>74</v>
      </c>
      <c r="F801" t="s">
        <v>11254</v>
      </c>
      <c r="G801" t="s">
        <v>74</v>
      </c>
      <c r="H801" t="s">
        <v>74</v>
      </c>
      <c r="I801" t="s">
        <v>11255</v>
      </c>
      <c r="J801" t="s">
        <v>316</v>
      </c>
      <c r="K801" t="s">
        <v>74</v>
      </c>
      <c r="L801" t="s">
        <v>74</v>
      </c>
      <c r="M801" t="s">
        <v>77</v>
      </c>
      <c r="N801" t="s">
        <v>78</v>
      </c>
      <c r="O801" t="s">
        <v>74</v>
      </c>
      <c r="P801" t="s">
        <v>74</v>
      </c>
      <c r="Q801" t="s">
        <v>74</v>
      </c>
      <c r="R801" t="s">
        <v>74</v>
      </c>
      <c r="S801" t="s">
        <v>74</v>
      </c>
      <c r="T801" t="s">
        <v>74</v>
      </c>
      <c r="U801" t="s">
        <v>11256</v>
      </c>
      <c r="V801" t="s">
        <v>11257</v>
      </c>
      <c r="W801" t="s">
        <v>11258</v>
      </c>
      <c r="X801" t="s">
        <v>3474</v>
      </c>
      <c r="Y801" t="s">
        <v>11259</v>
      </c>
      <c r="Z801" t="s">
        <v>11260</v>
      </c>
      <c r="AA801" t="s">
        <v>11261</v>
      </c>
      <c r="AB801" t="s">
        <v>74</v>
      </c>
      <c r="AC801" t="s">
        <v>74</v>
      </c>
      <c r="AD801" t="s">
        <v>74</v>
      </c>
      <c r="AE801" t="s">
        <v>74</v>
      </c>
      <c r="AF801" t="s">
        <v>74</v>
      </c>
      <c r="AG801">
        <v>74</v>
      </c>
      <c r="AH801">
        <v>67</v>
      </c>
      <c r="AI801">
        <v>71</v>
      </c>
      <c r="AJ801">
        <v>1</v>
      </c>
      <c r="AK801">
        <v>6</v>
      </c>
      <c r="AL801" t="s">
        <v>207</v>
      </c>
      <c r="AM801" t="s">
        <v>229</v>
      </c>
      <c r="AN801" t="s">
        <v>323</v>
      </c>
      <c r="AO801" t="s">
        <v>324</v>
      </c>
      <c r="AP801" t="s">
        <v>325</v>
      </c>
      <c r="AQ801" t="s">
        <v>74</v>
      </c>
      <c r="AR801" t="s">
        <v>326</v>
      </c>
      <c r="AS801" t="s">
        <v>327</v>
      </c>
      <c r="AT801" t="s">
        <v>10390</v>
      </c>
      <c r="AU801">
        <v>2003</v>
      </c>
      <c r="AV801">
        <v>26</v>
      </c>
      <c r="AW801">
        <v>3</v>
      </c>
      <c r="AX801" t="s">
        <v>74</v>
      </c>
      <c r="AY801" t="s">
        <v>74</v>
      </c>
      <c r="AZ801" t="s">
        <v>74</v>
      </c>
      <c r="BA801" t="s">
        <v>74</v>
      </c>
      <c r="BB801">
        <v>208</v>
      </c>
      <c r="BC801">
        <v>217</v>
      </c>
      <c r="BD801" t="s">
        <v>74</v>
      </c>
      <c r="BE801" t="s">
        <v>11262</v>
      </c>
      <c r="BF801" t="str">
        <f>HYPERLINK("http://dx.doi.org/10.1007/s00300-002-0455","http://dx.doi.org/10.1007/s00300-002-0455")</f>
        <v>http://dx.doi.org/10.1007/s00300-002-0455</v>
      </c>
      <c r="BG801" t="s">
        <v>74</v>
      </c>
      <c r="BH801" t="s">
        <v>74</v>
      </c>
      <c r="BI801">
        <v>10</v>
      </c>
      <c r="BJ801" t="s">
        <v>329</v>
      </c>
      <c r="BK801" t="s">
        <v>94</v>
      </c>
      <c r="BL801" t="s">
        <v>330</v>
      </c>
      <c r="BM801" t="s">
        <v>11164</v>
      </c>
      <c r="BN801" t="s">
        <v>74</v>
      </c>
      <c r="BO801" t="s">
        <v>74</v>
      </c>
      <c r="BP801" t="s">
        <v>74</v>
      </c>
      <c r="BQ801" t="s">
        <v>74</v>
      </c>
      <c r="BR801" t="s">
        <v>97</v>
      </c>
      <c r="BS801" t="s">
        <v>11263</v>
      </c>
      <c r="BT801" t="str">
        <f>HYPERLINK("https%3A%2F%2Fwww.webofscience.com%2Fwos%2Fwoscc%2Ffull-record%2FWOS:000181676100010","View Full Record in Web of Science")</f>
        <v>View Full Record in Web of Science</v>
      </c>
    </row>
    <row r="802" spans="1:72" x14ac:dyDescent="0.15">
      <c r="A802" t="s">
        <v>72</v>
      </c>
      <c r="B802" t="s">
        <v>11264</v>
      </c>
      <c r="C802" t="s">
        <v>74</v>
      </c>
      <c r="D802" t="s">
        <v>74</v>
      </c>
      <c r="E802" t="s">
        <v>74</v>
      </c>
      <c r="F802" t="s">
        <v>11264</v>
      </c>
      <c r="G802" t="s">
        <v>74</v>
      </c>
      <c r="H802" t="s">
        <v>74</v>
      </c>
      <c r="I802" t="s">
        <v>11265</v>
      </c>
      <c r="J802" t="s">
        <v>11266</v>
      </c>
      <c r="K802" t="s">
        <v>74</v>
      </c>
      <c r="L802" t="s">
        <v>74</v>
      </c>
      <c r="M802" t="s">
        <v>77</v>
      </c>
      <c r="N802" t="s">
        <v>78</v>
      </c>
      <c r="O802" t="s">
        <v>74</v>
      </c>
      <c r="P802" t="s">
        <v>74</v>
      </c>
      <c r="Q802" t="s">
        <v>74</v>
      </c>
      <c r="R802" t="s">
        <v>74</v>
      </c>
      <c r="S802" t="s">
        <v>74</v>
      </c>
      <c r="T802" t="s">
        <v>11267</v>
      </c>
      <c r="U802" t="s">
        <v>11268</v>
      </c>
      <c r="V802" t="s">
        <v>11269</v>
      </c>
      <c r="W802" t="s">
        <v>11270</v>
      </c>
      <c r="X802" t="s">
        <v>11271</v>
      </c>
      <c r="Y802" t="s">
        <v>11272</v>
      </c>
      <c r="Z802" t="s">
        <v>11273</v>
      </c>
      <c r="AA802" t="s">
        <v>11274</v>
      </c>
      <c r="AB802" t="s">
        <v>11275</v>
      </c>
      <c r="AC802" t="s">
        <v>74</v>
      </c>
      <c r="AD802" t="s">
        <v>74</v>
      </c>
      <c r="AE802" t="s">
        <v>74</v>
      </c>
      <c r="AF802" t="s">
        <v>74</v>
      </c>
      <c r="AG802">
        <v>47</v>
      </c>
      <c r="AH802">
        <v>94</v>
      </c>
      <c r="AI802">
        <v>106</v>
      </c>
      <c r="AJ802">
        <v>3</v>
      </c>
      <c r="AK802">
        <v>22</v>
      </c>
      <c r="AL802" t="s">
        <v>250</v>
      </c>
      <c r="AM802" t="s">
        <v>251</v>
      </c>
      <c r="AN802" t="s">
        <v>252</v>
      </c>
      <c r="AO802" t="s">
        <v>11276</v>
      </c>
      <c r="AP802" t="s">
        <v>11277</v>
      </c>
      <c r="AQ802" t="s">
        <v>74</v>
      </c>
      <c r="AR802" t="s">
        <v>11278</v>
      </c>
      <c r="AS802" t="s">
        <v>11279</v>
      </c>
      <c r="AT802" t="s">
        <v>10631</v>
      </c>
      <c r="AU802">
        <v>2003</v>
      </c>
      <c r="AV802">
        <v>50</v>
      </c>
      <c r="AW802">
        <v>4</v>
      </c>
      <c r="AX802" t="s">
        <v>74</v>
      </c>
      <c r="AY802" t="s">
        <v>74</v>
      </c>
      <c r="AZ802" t="s">
        <v>74</v>
      </c>
      <c r="BA802" t="s">
        <v>74</v>
      </c>
      <c r="BB802">
        <v>636</v>
      </c>
      <c r="BC802">
        <v>647</v>
      </c>
      <c r="BD802" t="s">
        <v>74</v>
      </c>
      <c r="BE802" t="s">
        <v>11280</v>
      </c>
      <c r="BF802" t="str">
        <f>HYPERLINK("http://dx.doi.org/10.1002/prot.10264","http://dx.doi.org/10.1002/prot.10264")</f>
        <v>http://dx.doi.org/10.1002/prot.10264</v>
      </c>
      <c r="BG802" t="s">
        <v>74</v>
      </c>
      <c r="BH802" t="s">
        <v>74</v>
      </c>
      <c r="BI802">
        <v>12</v>
      </c>
      <c r="BJ802" t="s">
        <v>5237</v>
      </c>
      <c r="BK802" t="s">
        <v>94</v>
      </c>
      <c r="BL802" t="s">
        <v>5237</v>
      </c>
      <c r="BM802" t="s">
        <v>11281</v>
      </c>
      <c r="BN802">
        <v>12577270</v>
      </c>
      <c r="BO802" t="s">
        <v>74</v>
      </c>
      <c r="BP802" t="s">
        <v>74</v>
      </c>
      <c r="BQ802" t="s">
        <v>74</v>
      </c>
      <c r="BR802" t="s">
        <v>97</v>
      </c>
      <c r="BS802" t="s">
        <v>11282</v>
      </c>
      <c r="BT802" t="str">
        <f>HYPERLINK("https%3A%2F%2Fwww.webofscience.com%2Fwos%2Fwoscc%2Ffull-record%2FWOS:000181375300015","View Full Record in Web of Science")</f>
        <v>View Full Record in Web of Science</v>
      </c>
    </row>
    <row r="803" spans="1:72" x14ac:dyDescent="0.15">
      <c r="A803" t="s">
        <v>72</v>
      </c>
      <c r="B803" t="s">
        <v>11283</v>
      </c>
      <c r="C803" t="s">
        <v>74</v>
      </c>
      <c r="D803" t="s">
        <v>74</v>
      </c>
      <c r="E803" t="s">
        <v>74</v>
      </c>
      <c r="F803" t="s">
        <v>11283</v>
      </c>
      <c r="G803" t="s">
        <v>74</v>
      </c>
      <c r="H803" t="s">
        <v>74</v>
      </c>
      <c r="I803" t="s">
        <v>11284</v>
      </c>
      <c r="J803" t="s">
        <v>5683</v>
      </c>
      <c r="K803" t="s">
        <v>74</v>
      </c>
      <c r="L803" t="s">
        <v>74</v>
      </c>
      <c r="M803" t="s">
        <v>77</v>
      </c>
      <c r="N803" t="s">
        <v>78</v>
      </c>
      <c r="O803" t="s">
        <v>74</v>
      </c>
      <c r="P803" t="s">
        <v>74</v>
      </c>
      <c r="Q803" t="s">
        <v>74</v>
      </c>
      <c r="R803" t="s">
        <v>74</v>
      </c>
      <c r="S803" t="s">
        <v>74</v>
      </c>
      <c r="T803" t="s">
        <v>74</v>
      </c>
      <c r="U803" t="s">
        <v>11285</v>
      </c>
      <c r="V803" t="s">
        <v>11286</v>
      </c>
      <c r="W803" t="s">
        <v>11287</v>
      </c>
      <c r="X803" t="s">
        <v>11288</v>
      </c>
      <c r="Y803" t="s">
        <v>11289</v>
      </c>
      <c r="Z803" t="s">
        <v>11290</v>
      </c>
      <c r="AA803" t="s">
        <v>11291</v>
      </c>
      <c r="AB803" t="s">
        <v>11292</v>
      </c>
      <c r="AC803" t="s">
        <v>74</v>
      </c>
      <c r="AD803" t="s">
        <v>74</v>
      </c>
      <c r="AE803" t="s">
        <v>74</v>
      </c>
      <c r="AF803" t="s">
        <v>74</v>
      </c>
      <c r="AG803">
        <v>45</v>
      </c>
      <c r="AH803">
        <v>110</v>
      </c>
      <c r="AI803">
        <v>115</v>
      </c>
      <c r="AJ803">
        <v>0</v>
      </c>
      <c r="AK803">
        <v>11</v>
      </c>
      <c r="AL803" t="s">
        <v>169</v>
      </c>
      <c r="AM803" t="s">
        <v>170</v>
      </c>
      <c r="AN803" t="s">
        <v>171</v>
      </c>
      <c r="AO803" t="s">
        <v>5690</v>
      </c>
      <c r="AP803" t="s">
        <v>74</v>
      </c>
      <c r="AQ803" t="s">
        <v>74</v>
      </c>
      <c r="AR803" t="s">
        <v>5691</v>
      </c>
      <c r="AS803" t="s">
        <v>5692</v>
      </c>
      <c r="AT803" t="s">
        <v>10390</v>
      </c>
      <c r="AU803">
        <v>2003</v>
      </c>
      <c r="AV803">
        <v>22</v>
      </c>
      <c r="AW803" t="s">
        <v>11293</v>
      </c>
      <c r="AX803" t="s">
        <v>74</v>
      </c>
      <c r="AY803" t="s">
        <v>74</v>
      </c>
      <c r="AZ803" t="s">
        <v>74</v>
      </c>
      <c r="BA803" t="s">
        <v>74</v>
      </c>
      <c r="BB803">
        <v>659</v>
      </c>
      <c r="BC803">
        <v>671</v>
      </c>
      <c r="BD803" t="s">
        <v>11294</v>
      </c>
      <c r="BE803" t="s">
        <v>11295</v>
      </c>
      <c r="BF803" t="str">
        <f>HYPERLINK("http://dx.doi.org/10.1016/S0277-3791(02)00184-1","http://dx.doi.org/10.1016/S0277-3791(02)00184-1")</f>
        <v>http://dx.doi.org/10.1016/S0277-3791(02)00184-1</v>
      </c>
      <c r="BG803" t="s">
        <v>74</v>
      </c>
      <c r="BH803" t="s">
        <v>74</v>
      </c>
      <c r="BI803">
        <v>13</v>
      </c>
      <c r="BJ803" t="s">
        <v>1433</v>
      </c>
      <c r="BK803" t="s">
        <v>94</v>
      </c>
      <c r="BL803" t="s">
        <v>1434</v>
      </c>
      <c r="BM803" t="s">
        <v>11296</v>
      </c>
      <c r="BN803" t="s">
        <v>74</v>
      </c>
      <c r="BO803" t="s">
        <v>74</v>
      </c>
      <c r="BP803" t="s">
        <v>74</v>
      </c>
      <c r="BQ803" t="s">
        <v>74</v>
      </c>
      <c r="BR803" t="s">
        <v>97</v>
      </c>
      <c r="BS803" t="s">
        <v>11297</v>
      </c>
      <c r="BT803" t="str">
        <f>HYPERLINK("https%3A%2F%2Fwww.webofscience.com%2Fwos%2Fwoscc%2Ffull-record%2FWOS:000181793600015","View Full Record in Web of Science")</f>
        <v>View Full Record in Web of Science</v>
      </c>
    </row>
    <row r="804" spans="1:72" x14ac:dyDescent="0.15">
      <c r="A804" t="s">
        <v>72</v>
      </c>
      <c r="B804" t="s">
        <v>11298</v>
      </c>
      <c r="C804" t="s">
        <v>74</v>
      </c>
      <c r="D804" t="s">
        <v>74</v>
      </c>
      <c r="E804" t="s">
        <v>74</v>
      </c>
      <c r="F804" t="s">
        <v>11298</v>
      </c>
      <c r="G804" t="s">
        <v>74</v>
      </c>
      <c r="H804" t="s">
        <v>74</v>
      </c>
      <c r="I804" t="s">
        <v>11299</v>
      </c>
      <c r="J804" t="s">
        <v>5683</v>
      </c>
      <c r="K804" t="s">
        <v>74</v>
      </c>
      <c r="L804" t="s">
        <v>74</v>
      </c>
      <c r="M804" t="s">
        <v>77</v>
      </c>
      <c r="N804" t="s">
        <v>78</v>
      </c>
      <c r="O804" t="s">
        <v>74</v>
      </c>
      <c r="P804" t="s">
        <v>74</v>
      </c>
      <c r="Q804" t="s">
        <v>74</v>
      </c>
      <c r="R804" t="s">
        <v>74</v>
      </c>
      <c r="S804" t="s">
        <v>74</v>
      </c>
      <c r="T804" t="s">
        <v>74</v>
      </c>
      <c r="U804" t="s">
        <v>11300</v>
      </c>
      <c r="V804" t="s">
        <v>11301</v>
      </c>
      <c r="W804" t="s">
        <v>11302</v>
      </c>
      <c r="X804" t="s">
        <v>1647</v>
      </c>
      <c r="Y804" t="s">
        <v>10725</v>
      </c>
      <c r="Z804" t="s">
        <v>10726</v>
      </c>
      <c r="AA804" t="s">
        <v>11303</v>
      </c>
      <c r="AB804" t="s">
        <v>11304</v>
      </c>
      <c r="AC804" t="s">
        <v>74</v>
      </c>
      <c r="AD804" t="s">
        <v>74</v>
      </c>
      <c r="AE804" t="s">
        <v>74</v>
      </c>
      <c r="AF804" t="s">
        <v>74</v>
      </c>
      <c r="AG804">
        <v>18</v>
      </c>
      <c r="AH804">
        <v>35</v>
      </c>
      <c r="AI804">
        <v>44</v>
      </c>
      <c r="AJ804">
        <v>3</v>
      </c>
      <c r="AK804">
        <v>10</v>
      </c>
      <c r="AL804" t="s">
        <v>169</v>
      </c>
      <c r="AM804" t="s">
        <v>170</v>
      </c>
      <c r="AN804" t="s">
        <v>171</v>
      </c>
      <c r="AO804" t="s">
        <v>5690</v>
      </c>
      <c r="AP804" t="s">
        <v>74</v>
      </c>
      <c r="AQ804" t="s">
        <v>74</v>
      </c>
      <c r="AR804" t="s">
        <v>5691</v>
      </c>
      <c r="AS804" t="s">
        <v>5692</v>
      </c>
      <c r="AT804" t="s">
        <v>10390</v>
      </c>
      <c r="AU804">
        <v>2003</v>
      </c>
      <c r="AV804">
        <v>22</v>
      </c>
      <c r="AW804" t="s">
        <v>11293</v>
      </c>
      <c r="AX804" t="s">
        <v>74</v>
      </c>
      <c r="AY804" t="s">
        <v>74</v>
      </c>
      <c r="AZ804" t="s">
        <v>74</v>
      </c>
      <c r="BA804" t="s">
        <v>74</v>
      </c>
      <c r="BB804">
        <v>741</v>
      </c>
      <c r="BC804">
        <v>750</v>
      </c>
      <c r="BD804" t="s">
        <v>11305</v>
      </c>
      <c r="BE804" t="s">
        <v>11306</v>
      </c>
      <c r="BF804" t="str">
        <f>HYPERLINK("http://dx.doi.org/10.1016/S0277-3791(02)00191-9","http://dx.doi.org/10.1016/S0277-3791(02)00191-9")</f>
        <v>http://dx.doi.org/10.1016/S0277-3791(02)00191-9</v>
      </c>
      <c r="BG804" t="s">
        <v>74</v>
      </c>
      <c r="BH804" t="s">
        <v>74</v>
      </c>
      <c r="BI804">
        <v>10</v>
      </c>
      <c r="BJ804" t="s">
        <v>1433</v>
      </c>
      <c r="BK804" t="s">
        <v>94</v>
      </c>
      <c r="BL804" t="s">
        <v>1434</v>
      </c>
      <c r="BM804" t="s">
        <v>11296</v>
      </c>
      <c r="BN804" t="s">
        <v>74</v>
      </c>
      <c r="BO804" t="s">
        <v>74</v>
      </c>
      <c r="BP804" t="s">
        <v>74</v>
      </c>
      <c r="BQ804" t="s">
        <v>74</v>
      </c>
      <c r="BR804" t="s">
        <v>97</v>
      </c>
      <c r="BS804" t="s">
        <v>11307</v>
      </c>
      <c r="BT804" t="str">
        <f>HYPERLINK("https%3A%2F%2Fwww.webofscience.com%2Fwos%2Fwoscc%2Ffull-record%2FWOS:000181793600020","View Full Record in Web of Science")</f>
        <v>View Full Record in Web of Science</v>
      </c>
    </row>
    <row r="805" spans="1:72" x14ac:dyDescent="0.15">
      <c r="A805" t="s">
        <v>72</v>
      </c>
      <c r="B805" t="s">
        <v>11308</v>
      </c>
      <c r="C805" t="s">
        <v>74</v>
      </c>
      <c r="D805" t="s">
        <v>74</v>
      </c>
      <c r="E805" t="s">
        <v>74</v>
      </c>
      <c r="F805" t="s">
        <v>11308</v>
      </c>
      <c r="G805" t="s">
        <v>74</v>
      </c>
      <c r="H805" t="s">
        <v>74</v>
      </c>
      <c r="I805" t="s">
        <v>11309</v>
      </c>
      <c r="J805" t="s">
        <v>5733</v>
      </c>
      <c r="K805" t="s">
        <v>74</v>
      </c>
      <c r="L805" t="s">
        <v>74</v>
      </c>
      <c r="M805" t="s">
        <v>77</v>
      </c>
      <c r="N805" t="s">
        <v>556</v>
      </c>
      <c r="O805" t="s">
        <v>74</v>
      </c>
      <c r="P805" t="s">
        <v>74</v>
      </c>
      <c r="Q805" t="s">
        <v>74</v>
      </c>
      <c r="R805" t="s">
        <v>74</v>
      </c>
      <c r="S805" t="s">
        <v>74</v>
      </c>
      <c r="T805" t="s">
        <v>74</v>
      </c>
      <c r="U805" t="s">
        <v>11310</v>
      </c>
      <c r="V805" t="s">
        <v>11311</v>
      </c>
      <c r="W805" t="s">
        <v>11312</v>
      </c>
      <c r="X805" t="s">
        <v>11313</v>
      </c>
      <c r="Y805" t="s">
        <v>11314</v>
      </c>
      <c r="Z805" t="s">
        <v>11315</v>
      </c>
      <c r="AA805" t="s">
        <v>74</v>
      </c>
      <c r="AB805" t="s">
        <v>74</v>
      </c>
      <c r="AC805" t="s">
        <v>74</v>
      </c>
      <c r="AD805" t="s">
        <v>74</v>
      </c>
      <c r="AE805" t="s">
        <v>74</v>
      </c>
      <c r="AF805" t="s">
        <v>74</v>
      </c>
      <c r="AG805">
        <v>135</v>
      </c>
      <c r="AH805">
        <v>6</v>
      </c>
      <c r="AI805">
        <v>7</v>
      </c>
      <c r="AJ805">
        <v>0</v>
      </c>
      <c r="AK805">
        <v>6</v>
      </c>
      <c r="AL805" t="s">
        <v>5741</v>
      </c>
      <c r="AM805" t="s">
        <v>5742</v>
      </c>
      <c r="AN805" t="s">
        <v>5743</v>
      </c>
      <c r="AO805" t="s">
        <v>5744</v>
      </c>
      <c r="AP805" t="s">
        <v>11316</v>
      </c>
      <c r="AQ805" t="s">
        <v>74</v>
      </c>
      <c r="AR805" t="s">
        <v>5745</v>
      </c>
      <c r="AS805" t="s">
        <v>5746</v>
      </c>
      <c r="AT805" t="s">
        <v>11111</v>
      </c>
      <c r="AU805">
        <v>2003</v>
      </c>
      <c r="AV805">
        <v>99</v>
      </c>
      <c r="AW805" t="s">
        <v>116</v>
      </c>
      <c r="AX805" t="s">
        <v>74</v>
      </c>
      <c r="AY805" t="s">
        <v>74</v>
      </c>
      <c r="AZ805" t="s">
        <v>74</v>
      </c>
      <c r="BA805" t="s">
        <v>74</v>
      </c>
      <c r="BB805">
        <v>130</v>
      </c>
      <c r="BC805">
        <v>136</v>
      </c>
      <c r="BD805" t="s">
        <v>74</v>
      </c>
      <c r="BE805" t="s">
        <v>74</v>
      </c>
      <c r="BF805" t="s">
        <v>74</v>
      </c>
      <c r="BG805" t="s">
        <v>74</v>
      </c>
      <c r="BH805" t="s">
        <v>74</v>
      </c>
      <c r="BI805">
        <v>7</v>
      </c>
      <c r="BJ805" t="s">
        <v>971</v>
      </c>
      <c r="BK805" t="s">
        <v>94</v>
      </c>
      <c r="BL805" t="s">
        <v>972</v>
      </c>
      <c r="BM805" t="s">
        <v>11317</v>
      </c>
      <c r="BN805" t="s">
        <v>74</v>
      </c>
      <c r="BO805" t="s">
        <v>74</v>
      </c>
      <c r="BP805" t="s">
        <v>74</v>
      </c>
      <c r="BQ805" t="s">
        <v>74</v>
      </c>
      <c r="BR805" t="s">
        <v>97</v>
      </c>
      <c r="BS805" t="s">
        <v>11318</v>
      </c>
      <c r="BT805" t="str">
        <f>HYPERLINK("https%3A%2F%2Fwww.webofscience.com%2Fwos%2Fwoscc%2Ffull-record%2FWOS:000183675000008","View Full Record in Web of Science")</f>
        <v>View Full Record in Web of Science</v>
      </c>
    </row>
    <row r="806" spans="1:72" x14ac:dyDescent="0.15">
      <c r="A806" t="s">
        <v>72</v>
      </c>
      <c r="B806" t="s">
        <v>11319</v>
      </c>
      <c r="C806" t="s">
        <v>74</v>
      </c>
      <c r="D806" t="s">
        <v>74</v>
      </c>
      <c r="E806" t="s">
        <v>74</v>
      </c>
      <c r="F806" t="s">
        <v>11319</v>
      </c>
      <c r="G806" t="s">
        <v>74</v>
      </c>
      <c r="H806" t="s">
        <v>74</v>
      </c>
      <c r="I806" t="s">
        <v>11320</v>
      </c>
      <c r="J806" t="s">
        <v>5733</v>
      </c>
      <c r="K806" t="s">
        <v>74</v>
      </c>
      <c r="L806" t="s">
        <v>74</v>
      </c>
      <c r="M806" t="s">
        <v>77</v>
      </c>
      <c r="N806" t="s">
        <v>78</v>
      </c>
      <c r="O806" t="s">
        <v>74</v>
      </c>
      <c r="P806" t="s">
        <v>74</v>
      </c>
      <c r="Q806" t="s">
        <v>74</v>
      </c>
      <c r="R806" t="s">
        <v>74</v>
      </c>
      <c r="S806" t="s">
        <v>74</v>
      </c>
      <c r="T806" t="s">
        <v>74</v>
      </c>
      <c r="U806" t="s">
        <v>11321</v>
      </c>
      <c r="V806" t="s">
        <v>11322</v>
      </c>
      <c r="W806" t="s">
        <v>11323</v>
      </c>
      <c r="X806" t="s">
        <v>11324</v>
      </c>
      <c r="Y806" t="s">
        <v>11325</v>
      </c>
      <c r="Z806" t="s">
        <v>74</v>
      </c>
      <c r="AA806" t="s">
        <v>5439</v>
      </c>
      <c r="AB806" t="s">
        <v>11326</v>
      </c>
      <c r="AC806" t="s">
        <v>74</v>
      </c>
      <c r="AD806" t="s">
        <v>74</v>
      </c>
      <c r="AE806" t="s">
        <v>74</v>
      </c>
      <c r="AF806" t="s">
        <v>74</v>
      </c>
      <c r="AG806">
        <v>3</v>
      </c>
      <c r="AH806">
        <v>4</v>
      </c>
      <c r="AI806">
        <v>4</v>
      </c>
      <c r="AJ806">
        <v>0</v>
      </c>
      <c r="AK806">
        <v>0</v>
      </c>
      <c r="AL806" t="s">
        <v>5741</v>
      </c>
      <c r="AM806" t="s">
        <v>5742</v>
      </c>
      <c r="AN806" t="s">
        <v>5743</v>
      </c>
      <c r="AO806" t="s">
        <v>5744</v>
      </c>
      <c r="AP806" t="s">
        <v>74</v>
      </c>
      <c r="AQ806" t="s">
        <v>74</v>
      </c>
      <c r="AR806" t="s">
        <v>5745</v>
      </c>
      <c r="AS806" t="s">
        <v>5746</v>
      </c>
      <c r="AT806" t="s">
        <v>11111</v>
      </c>
      <c r="AU806">
        <v>2003</v>
      </c>
      <c r="AV806">
        <v>99</v>
      </c>
      <c r="AW806" t="s">
        <v>116</v>
      </c>
      <c r="AX806" t="s">
        <v>74</v>
      </c>
      <c r="AY806" t="s">
        <v>74</v>
      </c>
      <c r="AZ806" t="s">
        <v>74</v>
      </c>
      <c r="BA806" t="s">
        <v>74</v>
      </c>
      <c r="BB806">
        <v>153</v>
      </c>
      <c r="BC806">
        <v>159</v>
      </c>
      <c r="BD806" t="s">
        <v>74</v>
      </c>
      <c r="BE806" t="s">
        <v>74</v>
      </c>
      <c r="BF806" t="s">
        <v>74</v>
      </c>
      <c r="BG806" t="s">
        <v>74</v>
      </c>
      <c r="BH806" t="s">
        <v>74</v>
      </c>
      <c r="BI806">
        <v>7</v>
      </c>
      <c r="BJ806" t="s">
        <v>971</v>
      </c>
      <c r="BK806" t="s">
        <v>94</v>
      </c>
      <c r="BL806" t="s">
        <v>972</v>
      </c>
      <c r="BM806" t="s">
        <v>11317</v>
      </c>
      <c r="BN806" t="s">
        <v>74</v>
      </c>
      <c r="BO806" t="s">
        <v>74</v>
      </c>
      <c r="BP806" t="s">
        <v>74</v>
      </c>
      <c r="BQ806" t="s">
        <v>74</v>
      </c>
      <c r="BR806" t="s">
        <v>97</v>
      </c>
      <c r="BS806" t="s">
        <v>11327</v>
      </c>
      <c r="BT806" t="str">
        <f>HYPERLINK("https%3A%2F%2Fwww.webofscience.com%2Fwos%2Fwoscc%2Ffull-record%2FWOS:000183675000011","View Full Record in Web of Science")</f>
        <v>View Full Record in Web of Science</v>
      </c>
    </row>
    <row r="807" spans="1:72" x14ac:dyDescent="0.15">
      <c r="A807" t="s">
        <v>72</v>
      </c>
      <c r="B807" t="s">
        <v>11328</v>
      </c>
      <c r="C807" t="s">
        <v>74</v>
      </c>
      <c r="D807" t="s">
        <v>74</v>
      </c>
      <c r="E807" t="s">
        <v>74</v>
      </c>
      <c r="F807" t="s">
        <v>11328</v>
      </c>
      <c r="G807" t="s">
        <v>74</v>
      </c>
      <c r="H807" t="s">
        <v>74</v>
      </c>
      <c r="I807" t="s">
        <v>11329</v>
      </c>
      <c r="J807" t="s">
        <v>5733</v>
      </c>
      <c r="K807" t="s">
        <v>74</v>
      </c>
      <c r="L807" t="s">
        <v>74</v>
      </c>
      <c r="M807" t="s">
        <v>77</v>
      </c>
      <c r="N807" t="s">
        <v>78</v>
      </c>
      <c r="O807" t="s">
        <v>74</v>
      </c>
      <c r="P807" t="s">
        <v>74</v>
      </c>
      <c r="Q807" t="s">
        <v>74</v>
      </c>
      <c r="R807" t="s">
        <v>74</v>
      </c>
      <c r="S807" t="s">
        <v>74</v>
      </c>
      <c r="T807" t="s">
        <v>74</v>
      </c>
      <c r="U807" t="s">
        <v>11330</v>
      </c>
      <c r="V807" t="s">
        <v>11331</v>
      </c>
      <c r="W807" t="s">
        <v>11332</v>
      </c>
      <c r="X807" t="s">
        <v>11333</v>
      </c>
      <c r="Y807" t="s">
        <v>11334</v>
      </c>
      <c r="Z807" t="s">
        <v>74</v>
      </c>
      <c r="AA807" t="s">
        <v>74</v>
      </c>
      <c r="AB807" t="s">
        <v>74</v>
      </c>
      <c r="AC807" t="s">
        <v>74</v>
      </c>
      <c r="AD807" t="s">
        <v>74</v>
      </c>
      <c r="AE807" t="s">
        <v>74</v>
      </c>
      <c r="AF807" t="s">
        <v>74</v>
      </c>
      <c r="AG807">
        <v>15</v>
      </c>
      <c r="AH807">
        <v>6</v>
      </c>
      <c r="AI807">
        <v>6</v>
      </c>
      <c r="AJ807">
        <v>0</v>
      </c>
      <c r="AK807">
        <v>0</v>
      </c>
      <c r="AL807" t="s">
        <v>5741</v>
      </c>
      <c r="AM807" t="s">
        <v>5742</v>
      </c>
      <c r="AN807" t="s">
        <v>5743</v>
      </c>
      <c r="AO807" t="s">
        <v>5744</v>
      </c>
      <c r="AP807" t="s">
        <v>74</v>
      </c>
      <c r="AQ807" t="s">
        <v>74</v>
      </c>
      <c r="AR807" t="s">
        <v>5745</v>
      </c>
      <c r="AS807" t="s">
        <v>5746</v>
      </c>
      <c r="AT807" t="s">
        <v>11111</v>
      </c>
      <c r="AU807">
        <v>2003</v>
      </c>
      <c r="AV807">
        <v>99</v>
      </c>
      <c r="AW807" t="s">
        <v>116</v>
      </c>
      <c r="AX807" t="s">
        <v>74</v>
      </c>
      <c r="AY807" t="s">
        <v>74</v>
      </c>
      <c r="AZ807" t="s">
        <v>74</v>
      </c>
      <c r="BA807" t="s">
        <v>74</v>
      </c>
      <c r="BB807">
        <v>173</v>
      </c>
      <c r="BC807">
        <v>176</v>
      </c>
      <c r="BD807" t="s">
        <v>74</v>
      </c>
      <c r="BE807" t="s">
        <v>74</v>
      </c>
      <c r="BF807" t="s">
        <v>74</v>
      </c>
      <c r="BG807" t="s">
        <v>74</v>
      </c>
      <c r="BH807" t="s">
        <v>74</v>
      </c>
      <c r="BI807">
        <v>4</v>
      </c>
      <c r="BJ807" t="s">
        <v>971</v>
      </c>
      <c r="BK807" t="s">
        <v>94</v>
      </c>
      <c r="BL807" t="s">
        <v>972</v>
      </c>
      <c r="BM807" t="s">
        <v>11317</v>
      </c>
      <c r="BN807" t="s">
        <v>74</v>
      </c>
      <c r="BO807" t="s">
        <v>74</v>
      </c>
      <c r="BP807" t="s">
        <v>74</v>
      </c>
      <c r="BQ807" t="s">
        <v>74</v>
      </c>
      <c r="BR807" t="s">
        <v>97</v>
      </c>
      <c r="BS807" t="s">
        <v>11335</v>
      </c>
      <c r="BT807" t="str">
        <f>HYPERLINK("https%3A%2F%2Fwww.webofscience.com%2Fwos%2Fwoscc%2Ffull-record%2FWOS:000183675000015","View Full Record in Web of Science")</f>
        <v>View Full Record in Web of Science</v>
      </c>
    </row>
    <row r="808" spans="1:72" x14ac:dyDescent="0.15">
      <c r="A808" t="s">
        <v>72</v>
      </c>
      <c r="B808" t="s">
        <v>11336</v>
      </c>
      <c r="C808" t="s">
        <v>74</v>
      </c>
      <c r="D808" t="s">
        <v>74</v>
      </c>
      <c r="E808" t="s">
        <v>74</v>
      </c>
      <c r="F808" t="s">
        <v>11336</v>
      </c>
      <c r="G808" t="s">
        <v>74</v>
      </c>
      <c r="H808" t="s">
        <v>74</v>
      </c>
      <c r="I808" t="s">
        <v>11337</v>
      </c>
      <c r="J808" t="s">
        <v>5733</v>
      </c>
      <c r="K808" t="s">
        <v>74</v>
      </c>
      <c r="L808" t="s">
        <v>74</v>
      </c>
      <c r="M808" t="s">
        <v>77</v>
      </c>
      <c r="N808" t="s">
        <v>78</v>
      </c>
      <c r="O808" t="s">
        <v>74</v>
      </c>
      <c r="P808" t="s">
        <v>74</v>
      </c>
      <c r="Q808" t="s">
        <v>74</v>
      </c>
      <c r="R808" t="s">
        <v>74</v>
      </c>
      <c r="S808" t="s">
        <v>74</v>
      </c>
      <c r="T808" t="s">
        <v>74</v>
      </c>
      <c r="U808" t="s">
        <v>74</v>
      </c>
      <c r="V808" t="s">
        <v>11338</v>
      </c>
      <c r="W808" t="s">
        <v>11339</v>
      </c>
      <c r="X808" t="s">
        <v>11340</v>
      </c>
      <c r="Y808" t="s">
        <v>11341</v>
      </c>
      <c r="Z808" t="s">
        <v>74</v>
      </c>
      <c r="AA808" t="s">
        <v>11342</v>
      </c>
      <c r="AB808" t="s">
        <v>11343</v>
      </c>
      <c r="AC808" t="s">
        <v>74</v>
      </c>
      <c r="AD808" t="s">
        <v>74</v>
      </c>
      <c r="AE808" t="s">
        <v>74</v>
      </c>
      <c r="AF808" t="s">
        <v>74</v>
      </c>
      <c r="AG808">
        <v>16</v>
      </c>
      <c r="AH808">
        <v>8</v>
      </c>
      <c r="AI808">
        <v>9</v>
      </c>
      <c r="AJ808">
        <v>0</v>
      </c>
      <c r="AK808">
        <v>4</v>
      </c>
      <c r="AL808" t="s">
        <v>5741</v>
      </c>
      <c r="AM808" t="s">
        <v>5742</v>
      </c>
      <c r="AN808" t="s">
        <v>5743</v>
      </c>
      <c r="AO808" t="s">
        <v>5744</v>
      </c>
      <c r="AP808" t="s">
        <v>74</v>
      </c>
      <c r="AQ808" t="s">
        <v>74</v>
      </c>
      <c r="AR808" t="s">
        <v>5745</v>
      </c>
      <c r="AS808" t="s">
        <v>5746</v>
      </c>
      <c r="AT808" t="s">
        <v>11111</v>
      </c>
      <c r="AU808">
        <v>2003</v>
      </c>
      <c r="AV808">
        <v>99</v>
      </c>
      <c r="AW808" t="s">
        <v>116</v>
      </c>
      <c r="AX808" t="s">
        <v>74</v>
      </c>
      <c r="AY808" t="s">
        <v>74</v>
      </c>
      <c r="AZ808" t="s">
        <v>74</v>
      </c>
      <c r="BA808" t="s">
        <v>74</v>
      </c>
      <c r="BB808">
        <v>177</v>
      </c>
      <c r="BC808">
        <v>181</v>
      </c>
      <c r="BD808" t="s">
        <v>74</v>
      </c>
      <c r="BE808" t="s">
        <v>74</v>
      </c>
      <c r="BF808" t="s">
        <v>74</v>
      </c>
      <c r="BG808" t="s">
        <v>74</v>
      </c>
      <c r="BH808" t="s">
        <v>74</v>
      </c>
      <c r="BI808">
        <v>5</v>
      </c>
      <c r="BJ808" t="s">
        <v>971</v>
      </c>
      <c r="BK808" t="s">
        <v>94</v>
      </c>
      <c r="BL808" t="s">
        <v>972</v>
      </c>
      <c r="BM808" t="s">
        <v>11317</v>
      </c>
      <c r="BN808" t="s">
        <v>74</v>
      </c>
      <c r="BO808" t="s">
        <v>74</v>
      </c>
      <c r="BP808" t="s">
        <v>74</v>
      </c>
      <c r="BQ808" t="s">
        <v>74</v>
      </c>
      <c r="BR808" t="s">
        <v>97</v>
      </c>
      <c r="BS808" t="s">
        <v>11344</v>
      </c>
      <c r="BT808" t="str">
        <f>HYPERLINK("https%3A%2F%2Fwww.webofscience.com%2Fwos%2Fwoscc%2Ffull-record%2FWOS:000183675000016","View Full Record in Web of Science")</f>
        <v>View Full Record in Web of Science</v>
      </c>
    </row>
    <row r="809" spans="1:72" x14ac:dyDescent="0.15">
      <c r="A809" t="s">
        <v>72</v>
      </c>
      <c r="B809" t="s">
        <v>11345</v>
      </c>
      <c r="C809" t="s">
        <v>74</v>
      </c>
      <c r="D809" t="s">
        <v>74</v>
      </c>
      <c r="E809" t="s">
        <v>74</v>
      </c>
      <c r="F809" t="s">
        <v>11345</v>
      </c>
      <c r="G809" t="s">
        <v>74</v>
      </c>
      <c r="H809" t="s">
        <v>74</v>
      </c>
      <c r="I809" t="s">
        <v>11346</v>
      </c>
      <c r="J809" t="s">
        <v>11347</v>
      </c>
      <c r="K809" t="s">
        <v>74</v>
      </c>
      <c r="L809" t="s">
        <v>74</v>
      </c>
      <c r="M809" t="s">
        <v>77</v>
      </c>
      <c r="N809" t="s">
        <v>78</v>
      </c>
      <c r="O809" t="s">
        <v>74</v>
      </c>
      <c r="P809" t="s">
        <v>74</v>
      </c>
      <c r="Q809" t="s">
        <v>74</v>
      </c>
      <c r="R809" t="s">
        <v>74</v>
      </c>
      <c r="S809" t="s">
        <v>74</v>
      </c>
      <c r="T809" t="s">
        <v>11348</v>
      </c>
      <c r="U809" t="s">
        <v>11349</v>
      </c>
      <c r="V809" t="s">
        <v>11350</v>
      </c>
      <c r="W809" t="s">
        <v>11351</v>
      </c>
      <c r="X809" t="s">
        <v>11352</v>
      </c>
      <c r="Y809" t="s">
        <v>11353</v>
      </c>
      <c r="Z809" t="s">
        <v>74</v>
      </c>
      <c r="AA809" t="s">
        <v>11354</v>
      </c>
      <c r="AB809" t="s">
        <v>11355</v>
      </c>
      <c r="AC809" t="s">
        <v>74</v>
      </c>
      <c r="AD809" t="s">
        <v>74</v>
      </c>
      <c r="AE809" t="s">
        <v>74</v>
      </c>
      <c r="AF809" t="s">
        <v>74</v>
      </c>
      <c r="AG809">
        <v>33</v>
      </c>
      <c r="AH809">
        <v>36</v>
      </c>
      <c r="AI809">
        <v>41</v>
      </c>
      <c r="AJ809">
        <v>0</v>
      </c>
      <c r="AK809">
        <v>13</v>
      </c>
      <c r="AL809" t="s">
        <v>11356</v>
      </c>
      <c r="AM809" t="s">
        <v>7942</v>
      </c>
      <c r="AN809" t="s">
        <v>11357</v>
      </c>
      <c r="AO809" t="s">
        <v>11358</v>
      </c>
      <c r="AP809" t="s">
        <v>74</v>
      </c>
      <c r="AQ809" t="s">
        <v>74</v>
      </c>
      <c r="AR809" t="s">
        <v>11359</v>
      </c>
      <c r="AS809" t="s">
        <v>11360</v>
      </c>
      <c r="AT809" t="s">
        <v>10390</v>
      </c>
      <c r="AU809">
        <v>2003</v>
      </c>
      <c r="AV809">
        <v>26</v>
      </c>
      <c r="AW809">
        <v>1</v>
      </c>
      <c r="AX809" t="s">
        <v>74</v>
      </c>
      <c r="AY809" t="s">
        <v>74</v>
      </c>
      <c r="AZ809" t="s">
        <v>74</v>
      </c>
      <c r="BA809" t="s">
        <v>74</v>
      </c>
      <c r="BB809">
        <v>76</v>
      </c>
      <c r="BC809">
        <v>83</v>
      </c>
      <c r="BD809" t="s">
        <v>74</v>
      </c>
      <c r="BE809" t="s">
        <v>11361</v>
      </c>
      <c r="BF809" t="str">
        <f>HYPERLINK("http://dx.doi.org/10.1078/072320203322337344","http://dx.doi.org/10.1078/072320203322337344")</f>
        <v>http://dx.doi.org/10.1078/072320203322337344</v>
      </c>
      <c r="BG809" t="s">
        <v>74</v>
      </c>
      <c r="BH809" t="s">
        <v>74</v>
      </c>
      <c r="BI809">
        <v>8</v>
      </c>
      <c r="BJ809" t="s">
        <v>1270</v>
      </c>
      <c r="BK809" t="s">
        <v>94</v>
      </c>
      <c r="BL809" t="s">
        <v>1270</v>
      </c>
      <c r="BM809" t="s">
        <v>11362</v>
      </c>
      <c r="BN809">
        <v>12747413</v>
      </c>
      <c r="BO809" t="s">
        <v>74</v>
      </c>
      <c r="BP809" t="s">
        <v>74</v>
      </c>
      <c r="BQ809" t="s">
        <v>74</v>
      </c>
      <c r="BR809" t="s">
        <v>97</v>
      </c>
      <c r="BS809" t="s">
        <v>11363</v>
      </c>
      <c r="BT809" t="str">
        <f>HYPERLINK("https%3A%2F%2Fwww.webofscience.com%2Fwos%2Fwoscc%2Ffull-record%2FWOS:000182851700010","View Full Record in Web of Science")</f>
        <v>View Full Record in Web of Science</v>
      </c>
    </row>
    <row r="810" spans="1:72" x14ac:dyDescent="0.15">
      <c r="A810" t="s">
        <v>72</v>
      </c>
      <c r="B810" t="s">
        <v>11364</v>
      </c>
      <c r="C810" t="s">
        <v>74</v>
      </c>
      <c r="D810" t="s">
        <v>74</v>
      </c>
      <c r="E810" t="s">
        <v>74</v>
      </c>
      <c r="F810" t="s">
        <v>11364</v>
      </c>
      <c r="G810" t="s">
        <v>74</v>
      </c>
      <c r="H810" t="s">
        <v>74</v>
      </c>
      <c r="I810" t="s">
        <v>11365</v>
      </c>
      <c r="J810" t="s">
        <v>11366</v>
      </c>
      <c r="K810" t="s">
        <v>74</v>
      </c>
      <c r="L810" t="s">
        <v>74</v>
      </c>
      <c r="M810" t="s">
        <v>77</v>
      </c>
      <c r="N810" t="s">
        <v>78</v>
      </c>
      <c r="O810" t="s">
        <v>74</v>
      </c>
      <c r="P810" t="s">
        <v>74</v>
      </c>
      <c r="Q810" t="s">
        <v>74</v>
      </c>
      <c r="R810" t="s">
        <v>74</v>
      </c>
      <c r="S810" t="s">
        <v>74</v>
      </c>
      <c r="T810" t="s">
        <v>11367</v>
      </c>
      <c r="U810" t="s">
        <v>11368</v>
      </c>
      <c r="V810" t="s">
        <v>11369</v>
      </c>
      <c r="W810" t="s">
        <v>11370</v>
      </c>
      <c r="X810" t="s">
        <v>11371</v>
      </c>
      <c r="Y810" t="s">
        <v>11372</v>
      </c>
      <c r="Z810" t="s">
        <v>74</v>
      </c>
      <c r="AA810" t="s">
        <v>11373</v>
      </c>
      <c r="AB810" t="s">
        <v>11374</v>
      </c>
      <c r="AC810" t="s">
        <v>74</v>
      </c>
      <c r="AD810" t="s">
        <v>74</v>
      </c>
      <c r="AE810" t="s">
        <v>74</v>
      </c>
      <c r="AF810" t="s">
        <v>74</v>
      </c>
      <c r="AG810">
        <v>24</v>
      </c>
      <c r="AH810">
        <v>19</v>
      </c>
      <c r="AI810">
        <v>22</v>
      </c>
      <c r="AJ810">
        <v>0</v>
      </c>
      <c r="AK810">
        <v>2</v>
      </c>
      <c r="AL810" t="s">
        <v>169</v>
      </c>
      <c r="AM810" t="s">
        <v>170</v>
      </c>
      <c r="AN810" t="s">
        <v>171</v>
      </c>
      <c r="AO810" t="s">
        <v>11375</v>
      </c>
      <c r="AP810" t="s">
        <v>74</v>
      </c>
      <c r="AQ810" t="s">
        <v>74</v>
      </c>
      <c r="AR810" t="s">
        <v>11366</v>
      </c>
      <c r="AS810" t="s">
        <v>11376</v>
      </c>
      <c r="AT810" t="s">
        <v>10390</v>
      </c>
      <c r="AU810">
        <v>2003</v>
      </c>
      <c r="AV810">
        <v>41</v>
      </c>
      <c r="AW810">
        <v>4</v>
      </c>
      <c r="AX810" t="s">
        <v>74</v>
      </c>
      <c r="AY810" t="s">
        <v>74</v>
      </c>
      <c r="AZ810" t="s">
        <v>74</v>
      </c>
      <c r="BA810" t="s">
        <v>74</v>
      </c>
      <c r="BB810">
        <v>483</v>
      </c>
      <c r="BC810">
        <v>491</v>
      </c>
      <c r="BD810" t="s">
        <v>74</v>
      </c>
      <c r="BE810" t="s">
        <v>11377</v>
      </c>
      <c r="BF810" t="str">
        <f>HYPERLINK("http://dx.doi.org/10.1016/S0041-0101(02)00386-0","http://dx.doi.org/10.1016/S0041-0101(02)00386-0")</f>
        <v>http://dx.doi.org/10.1016/S0041-0101(02)00386-0</v>
      </c>
      <c r="BG810" t="s">
        <v>74</v>
      </c>
      <c r="BH810" t="s">
        <v>74</v>
      </c>
      <c r="BI810">
        <v>9</v>
      </c>
      <c r="BJ810" t="s">
        <v>11378</v>
      </c>
      <c r="BK810" t="s">
        <v>94</v>
      </c>
      <c r="BL810" t="s">
        <v>11378</v>
      </c>
      <c r="BM810" t="s">
        <v>11379</v>
      </c>
      <c r="BN810">
        <v>12657318</v>
      </c>
      <c r="BO810" t="s">
        <v>74</v>
      </c>
      <c r="BP810" t="s">
        <v>74</v>
      </c>
      <c r="BQ810" t="s">
        <v>74</v>
      </c>
      <c r="BR810" t="s">
        <v>97</v>
      </c>
      <c r="BS810" t="s">
        <v>11380</v>
      </c>
      <c r="BT810" t="str">
        <f>HYPERLINK("https%3A%2F%2Fwww.webofscience.com%2Fwos%2Fwoscc%2Ffull-record%2FWOS:000182308300010","View Full Record in Web of Science")</f>
        <v>View Full Record in Web of Science</v>
      </c>
    </row>
    <row r="811" spans="1:72" x14ac:dyDescent="0.15">
      <c r="A811" t="s">
        <v>72</v>
      </c>
      <c r="B811" t="s">
        <v>11381</v>
      </c>
      <c r="C811" t="s">
        <v>74</v>
      </c>
      <c r="D811" t="s">
        <v>74</v>
      </c>
      <c r="E811" t="s">
        <v>74</v>
      </c>
      <c r="F811" t="s">
        <v>11381</v>
      </c>
      <c r="G811" t="s">
        <v>74</v>
      </c>
      <c r="H811" t="s">
        <v>74</v>
      </c>
      <c r="I811" t="s">
        <v>11382</v>
      </c>
      <c r="J811" t="s">
        <v>11383</v>
      </c>
      <c r="K811" t="s">
        <v>74</v>
      </c>
      <c r="L811" t="s">
        <v>74</v>
      </c>
      <c r="M811" t="s">
        <v>77</v>
      </c>
      <c r="N811" t="s">
        <v>78</v>
      </c>
      <c r="O811" t="s">
        <v>74</v>
      </c>
      <c r="P811" t="s">
        <v>74</v>
      </c>
      <c r="Q811" t="s">
        <v>74</v>
      </c>
      <c r="R811" t="s">
        <v>74</v>
      </c>
      <c r="S811" t="s">
        <v>74</v>
      </c>
      <c r="T811" t="s">
        <v>11384</v>
      </c>
      <c r="U811" t="s">
        <v>11385</v>
      </c>
      <c r="V811" t="s">
        <v>11386</v>
      </c>
      <c r="W811" t="s">
        <v>11387</v>
      </c>
      <c r="X811" t="s">
        <v>11388</v>
      </c>
      <c r="Y811" t="s">
        <v>11389</v>
      </c>
      <c r="Z811" t="s">
        <v>74</v>
      </c>
      <c r="AA811" t="s">
        <v>11390</v>
      </c>
      <c r="AB811" t="s">
        <v>11391</v>
      </c>
      <c r="AC811" t="s">
        <v>74</v>
      </c>
      <c r="AD811" t="s">
        <v>74</v>
      </c>
      <c r="AE811" t="s">
        <v>74</v>
      </c>
      <c r="AF811" t="s">
        <v>74</v>
      </c>
      <c r="AG811">
        <v>45</v>
      </c>
      <c r="AH811">
        <v>27</v>
      </c>
      <c r="AI811">
        <v>30</v>
      </c>
      <c r="AJ811">
        <v>1</v>
      </c>
      <c r="AK811">
        <v>23</v>
      </c>
      <c r="AL811" t="s">
        <v>110</v>
      </c>
      <c r="AM811" t="s">
        <v>111</v>
      </c>
      <c r="AN811" t="s">
        <v>112</v>
      </c>
      <c r="AO811" t="s">
        <v>11392</v>
      </c>
      <c r="AP811" t="s">
        <v>74</v>
      </c>
      <c r="AQ811" t="s">
        <v>74</v>
      </c>
      <c r="AR811" t="s">
        <v>11393</v>
      </c>
      <c r="AS811" t="s">
        <v>11394</v>
      </c>
      <c r="AT811" t="s">
        <v>11395</v>
      </c>
      <c r="AU811">
        <v>2003</v>
      </c>
      <c r="AV811">
        <v>61</v>
      </c>
      <c r="AW811" t="s">
        <v>787</v>
      </c>
      <c r="AX811" t="s">
        <v>74</v>
      </c>
      <c r="AY811" t="s">
        <v>74</v>
      </c>
      <c r="AZ811" t="s">
        <v>74</v>
      </c>
      <c r="BA811" t="s">
        <v>74</v>
      </c>
      <c r="BB811">
        <v>77</v>
      </c>
      <c r="BC811">
        <v>85</v>
      </c>
      <c r="BD811" t="s">
        <v>11396</v>
      </c>
      <c r="BE811" t="s">
        <v>11397</v>
      </c>
      <c r="BF811" t="str">
        <f>HYPERLINK("http://dx.doi.org/10.1016/S0376-6357(02)00164-X","http://dx.doi.org/10.1016/S0376-6357(02)00164-X")</f>
        <v>http://dx.doi.org/10.1016/S0376-6357(02)00164-X</v>
      </c>
      <c r="BG811" t="s">
        <v>74</v>
      </c>
      <c r="BH811" t="s">
        <v>74</v>
      </c>
      <c r="BI811">
        <v>9</v>
      </c>
      <c r="BJ811" t="s">
        <v>11398</v>
      </c>
      <c r="BK811" t="s">
        <v>4544</v>
      </c>
      <c r="BL811" t="s">
        <v>11399</v>
      </c>
      <c r="BM811" t="s">
        <v>11400</v>
      </c>
      <c r="BN811">
        <v>12543485</v>
      </c>
      <c r="BO811" t="s">
        <v>74</v>
      </c>
      <c r="BP811" t="s">
        <v>74</v>
      </c>
      <c r="BQ811" t="s">
        <v>74</v>
      </c>
      <c r="BR811" t="s">
        <v>97</v>
      </c>
      <c r="BS811" t="s">
        <v>11401</v>
      </c>
      <c r="BT811" t="str">
        <f>HYPERLINK("https%3A%2F%2Fwww.webofscience.com%2Fwos%2Fwoscc%2Ffull-record%2FWOS:000180892600008","View Full Record in Web of Science")</f>
        <v>View Full Record in Web of Science</v>
      </c>
    </row>
    <row r="812" spans="1:72" x14ac:dyDescent="0.15">
      <c r="A812" t="s">
        <v>72</v>
      </c>
      <c r="B812" t="s">
        <v>11402</v>
      </c>
      <c r="C812" t="s">
        <v>74</v>
      </c>
      <c r="D812" t="s">
        <v>74</v>
      </c>
      <c r="E812" t="s">
        <v>74</v>
      </c>
      <c r="F812" t="s">
        <v>11402</v>
      </c>
      <c r="G812" t="s">
        <v>74</v>
      </c>
      <c r="H812" t="s">
        <v>74</v>
      </c>
      <c r="I812" t="s">
        <v>11403</v>
      </c>
      <c r="J812" t="s">
        <v>530</v>
      </c>
      <c r="K812" t="s">
        <v>74</v>
      </c>
      <c r="L812" t="s">
        <v>74</v>
      </c>
      <c r="M812" t="s">
        <v>77</v>
      </c>
      <c r="N812" t="s">
        <v>78</v>
      </c>
      <c r="O812" t="s">
        <v>74</v>
      </c>
      <c r="P812" t="s">
        <v>74</v>
      </c>
      <c r="Q812" t="s">
        <v>74</v>
      </c>
      <c r="R812" t="s">
        <v>74</v>
      </c>
      <c r="S812" t="s">
        <v>74</v>
      </c>
      <c r="T812" t="s">
        <v>74</v>
      </c>
      <c r="U812" t="s">
        <v>11404</v>
      </c>
      <c r="V812" t="s">
        <v>11405</v>
      </c>
      <c r="W812" t="s">
        <v>11406</v>
      </c>
      <c r="X812" t="s">
        <v>11407</v>
      </c>
      <c r="Y812" t="s">
        <v>11408</v>
      </c>
      <c r="Z812" t="s">
        <v>74</v>
      </c>
      <c r="AA812" t="s">
        <v>11409</v>
      </c>
      <c r="AB812" t="s">
        <v>74</v>
      </c>
      <c r="AC812" t="s">
        <v>74</v>
      </c>
      <c r="AD812" t="s">
        <v>74</v>
      </c>
      <c r="AE812" t="s">
        <v>74</v>
      </c>
      <c r="AF812" t="s">
        <v>74</v>
      </c>
      <c r="AG812">
        <v>31</v>
      </c>
      <c r="AH812">
        <v>10</v>
      </c>
      <c r="AI812">
        <v>14</v>
      </c>
      <c r="AJ812">
        <v>0</v>
      </c>
      <c r="AK812">
        <v>12</v>
      </c>
      <c r="AL812" t="s">
        <v>539</v>
      </c>
      <c r="AM812" t="s">
        <v>540</v>
      </c>
      <c r="AN812" t="s">
        <v>541</v>
      </c>
      <c r="AO812" t="s">
        <v>542</v>
      </c>
      <c r="AP812" t="s">
        <v>74</v>
      </c>
      <c r="AQ812" t="s">
        <v>74</v>
      </c>
      <c r="AR812" t="s">
        <v>544</v>
      </c>
      <c r="AS812" t="s">
        <v>545</v>
      </c>
      <c r="AT812" t="s">
        <v>11395</v>
      </c>
      <c r="AU812">
        <v>2003</v>
      </c>
      <c r="AV812">
        <v>30</v>
      </c>
      <c r="AW812">
        <v>4</v>
      </c>
      <c r="AX812" t="s">
        <v>74</v>
      </c>
      <c r="AY812" t="s">
        <v>74</v>
      </c>
      <c r="AZ812" t="s">
        <v>74</v>
      </c>
      <c r="BA812" t="s">
        <v>74</v>
      </c>
      <c r="BB812" t="s">
        <v>74</v>
      </c>
      <c r="BC812" t="s">
        <v>74</v>
      </c>
      <c r="BD812">
        <v>1195</v>
      </c>
      <c r="BE812" t="s">
        <v>11410</v>
      </c>
      <c r="BF812" t="str">
        <f>HYPERLINK("http://dx.doi.org/10.1029/2002GL016112","http://dx.doi.org/10.1029/2002GL016112")</f>
        <v>http://dx.doi.org/10.1029/2002GL016112</v>
      </c>
      <c r="BG812" t="s">
        <v>74</v>
      </c>
      <c r="BH812" t="s">
        <v>74</v>
      </c>
      <c r="BI812">
        <v>4</v>
      </c>
      <c r="BJ812" t="s">
        <v>548</v>
      </c>
      <c r="BK812" t="s">
        <v>94</v>
      </c>
      <c r="BL812" t="s">
        <v>549</v>
      </c>
      <c r="BM812" t="s">
        <v>11411</v>
      </c>
      <c r="BN812" t="s">
        <v>74</v>
      </c>
      <c r="BO812" t="s">
        <v>7225</v>
      </c>
      <c r="BP812" t="s">
        <v>74</v>
      </c>
      <c r="BQ812" t="s">
        <v>74</v>
      </c>
      <c r="BR812" t="s">
        <v>97</v>
      </c>
      <c r="BS812" t="s">
        <v>11412</v>
      </c>
      <c r="BT812" t="str">
        <f>HYPERLINK("https%3A%2F%2Fwww.webofscience.com%2Fwos%2Fwoscc%2Ffull-record%2FWOS:000182067300004","View Full Record in Web of Science")</f>
        <v>View Full Record in Web of Science</v>
      </c>
    </row>
    <row r="813" spans="1:72" x14ac:dyDescent="0.15">
      <c r="A813" t="s">
        <v>72</v>
      </c>
      <c r="B813" t="s">
        <v>11413</v>
      </c>
      <c r="C813" t="s">
        <v>74</v>
      </c>
      <c r="D813" t="s">
        <v>74</v>
      </c>
      <c r="E813" t="s">
        <v>74</v>
      </c>
      <c r="F813" t="s">
        <v>11413</v>
      </c>
      <c r="G813" t="s">
        <v>74</v>
      </c>
      <c r="H813" t="s">
        <v>74</v>
      </c>
      <c r="I813" t="s">
        <v>11414</v>
      </c>
      <c r="J813" t="s">
        <v>2693</v>
      </c>
      <c r="K813" t="s">
        <v>74</v>
      </c>
      <c r="L813" t="s">
        <v>74</v>
      </c>
      <c r="M813" t="s">
        <v>77</v>
      </c>
      <c r="N813" t="s">
        <v>78</v>
      </c>
      <c r="O813" t="s">
        <v>74</v>
      </c>
      <c r="P813" t="s">
        <v>74</v>
      </c>
      <c r="Q813" t="s">
        <v>74</v>
      </c>
      <c r="R813" t="s">
        <v>74</v>
      </c>
      <c r="S813" t="s">
        <v>74</v>
      </c>
      <c r="T813" t="s">
        <v>74</v>
      </c>
      <c r="U813" t="s">
        <v>11415</v>
      </c>
      <c r="V813" t="s">
        <v>11416</v>
      </c>
      <c r="W813" t="s">
        <v>11417</v>
      </c>
      <c r="X813" t="s">
        <v>11418</v>
      </c>
      <c r="Y813" t="s">
        <v>11419</v>
      </c>
      <c r="Z813" t="s">
        <v>11420</v>
      </c>
      <c r="AA813" t="s">
        <v>11421</v>
      </c>
      <c r="AB813" t="s">
        <v>11422</v>
      </c>
      <c r="AC813" t="s">
        <v>74</v>
      </c>
      <c r="AD813" t="s">
        <v>74</v>
      </c>
      <c r="AE813" t="s">
        <v>74</v>
      </c>
      <c r="AF813" t="s">
        <v>74</v>
      </c>
      <c r="AG813">
        <v>39</v>
      </c>
      <c r="AH813">
        <v>112</v>
      </c>
      <c r="AI813">
        <v>118</v>
      </c>
      <c r="AJ813">
        <v>1</v>
      </c>
      <c r="AK813">
        <v>16</v>
      </c>
      <c r="AL813" t="s">
        <v>2701</v>
      </c>
      <c r="AM813" t="s">
        <v>2702</v>
      </c>
      <c r="AN813" t="s">
        <v>2703</v>
      </c>
      <c r="AO813" t="s">
        <v>2704</v>
      </c>
      <c r="AP813" t="s">
        <v>7303</v>
      </c>
      <c r="AQ813" t="s">
        <v>74</v>
      </c>
      <c r="AR813" t="s">
        <v>2705</v>
      </c>
      <c r="AS813" t="s">
        <v>2706</v>
      </c>
      <c r="AT813" t="s">
        <v>11395</v>
      </c>
      <c r="AU813">
        <v>2003</v>
      </c>
      <c r="AV813">
        <v>278</v>
      </c>
      <c r="AW813">
        <v>9</v>
      </c>
      <c r="AX813" t="s">
        <v>74</v>
      </c>
      <c r="AY813" t="s">
        <v>74</v>
      </c>
      <c r="AZ813" t="s">
        <v>74</v>
      </c>
      <c r="BA813" t="s">
        <v>74</v>
      </c>
      <c r="BB813">
        <v>7531</v>
      </c>
      <c r="BC813">
        <v>7539</v>
      </c>
      <c r="BD813" t="s">
        <v>74</v>
      </c>
      <c r="BE813" t="s">
        <v>11423</v>
      </c>
      <c r="BF813" t="str">
        <f>HYPERLINK("http://dx.doi.org/10.1074/jbc.M206862200","http://dx.doi.org/10.1074/jbc.M206862200")</f>
        <v>http://dx.doi.org/10.1074/jbc.M206862200</v>
      </c>
      <c r="BG813" t="s">
        <v>74</v>
      </c>
      <c r="BH813" t="s">
        <v>74</v>
      </c>
      <c r="BI813">
        <v>9</v>
      </c>
      <c r="BJ813" t="s">
        <v>2709</v>
      </c>
      <c r="BK813" t="s">
        <v>94</v>
      </c>
      <c r="BL813" t="s">
        <v>2709</v>
      </c>
      <c r="BM813" t="s">
        <v>11424</v>
      </c>
      <c r="BN813">
        <v>12475991</v>
      </c>
      <c r="BO813" t="s">
        <v>11425</v>
      </c>
      <c r="BP813" t="s">
        <v>74</v>
      </c>
      <c r="BQ813" t="s">
        <v>74</v>
      </c>
      <c r="BR813" t="s">
        <v>97</v>
      </c>
      <c r="BS813" t="s">
        <v>11426</v>
      </c>
      <c r="BT813" t="str">
        <f>HYPERLINK("https%3A%2F%2Fwww.webofscience.com%2Fwos%2Fwoscc%2Ffull-record%2FWOS:000181195100115","View Full Record in Web of Science")</f>
        <v>View Full Record in Web of Science</v>
      </c>
    </row>
    <row r="814" spans="1:72" x14ac:dyDescent="0.15">
      <c r="A814" t="s">
        <v>72</v>
      </c>
      <c r="B814" t="s">
        <v>11427</v>
      </c>
      <c r="C814" t="s">
        <v>74</v>
      </c>
      <c r="D814" t="s">
        <v>74</v>
      </c>
      <c r="E814" t="s">
        <v>74</v>
      </c>
      <c r="F814" t="s">
        <v>11427</v>
      </c>
      <c r="G814" t="s">
        <v>74</v>
      </c>
      <c r="H814" t="s">
        <v>74</v>
      </c>
      <c r="I814" t="s">
        <v>11428</v>
      </c>
      <c r="J814" t="s">
        <v>578</v>
      </c>
      <c r="K814" t="s">
        <v>74</v>
      </c>
      <c r="L814" t="s">
        <v>74</v>
      </c>
      <c r="M814" t="s">
        <v>77</v>
      </c>
      <c r="N814" t="s">
        <v>78</v>
      </c>
      <c r="O814" t="s">
        <v>74</v>
      </c>
      <c r="P814" t="s">
        <v>74</v>
      </c>
      <c r="Q814" t="s">
        <v>74</v>
      </c>
      <c r="R814" t="s">
        <v>74</v>
      </c>
      <c r="S814" t="s">
        <v>74</v>
      </c>
      <c r="T814" t="s">
        <v>11429</v>
      </c>
      <c r="U814" t="s">
        <v>11430</v>
      </c>
      <c r="V814" t="s">
        <v>11431</v>
      </c>
      <c r="W814" t="s">
        <v>5463</v>
      </c>
      <c r="X814" t="s">
        <v>706</v>
      </c>
      <c r="Y814" t="s">
        <v>10614</v>
      </c>
      <c r="Z814" t="s">
        <v>11432</v>
      </c>
      <c r="AA814" t="s">
        <v>708</v>
      </c>
      <c r="AB814" t="s">
        <v>709</v>
      </c>
      <c r="AC814" t="s">
        <v>74</v>
      </c>
      <c r="AD814" t="s">
        <v>74</v>
      </c>
      <c r="AE814" t="s">
        <v>74</v>
      </c>
      <c r="AF814" t="s">
        <v>74</v>
      </c>
      <c r="AG814">
        <v>33</v>
      </c>
      <c r="AH814">
        <v>68</v>
      </c>
      <c r="AI814">
        <v>76</v>
      </c>
      <c r="AJ814">
        <v>0</v>
      </c>
      <c r="AK814">
        <v>16</v>
      </c>
      <c r="AL814" t="s">
        <v>539</v>
      </c>
      <c r="AM814" t="s">
        <v>540</v>
      </c>
      <c r="AN814" t="s">
        <v>541</v>
      </c>
      <c r="AO814" t="s">
        <v>588</v>
      </c>
      <c r="AP814" t="s">
        <v>605</v>
      </c>
      <c r="AQ814" t="s">
        <v>74</v>
      </c>
      <c r="AR814" t="s">
        <v>589</v>
      </c>
      <c r="AS814" t="s">
        <v>590</v>
      </c>
      <c r="AT814" t="s">
        <v>11395</v>
      </c>
      <c r="AU814">
        <v>2003</v>
      </c>
      <c r="AV814">
        <v>108</v>
      </c>
      <c r="AW814" t="s">
        <v>11433</v>
      </c>
      <c r="AX814" t="s">
        <v>74</v>
      </c>
      <c r="AY814" t="s">
        <v>74</v>
      </c>
      <c r="AZ814" t="s">
        <v>74</v>
      </c>
      <c r="BA814" t="s">
        <v>74</v>
      </c>
      <c r="BB814" t="s">
        <v>74</v>
      </c>
      <c r="BC814" t="s">
        <v>74</v>
      </c>
      <c r="BD814">
        <v>4147</v>
      </c>
      <c r="BE814" t="s">
        <v>11434</v>
      </c>
      <c r="BF814" t="str">
        <f>HYPERLINK("http://dx.doi.org/10.1029/2002JD002602","http://dx.doi.org/10.1029/2002JD002602")</f>
        <v>http://dx.doi.org/10.1029/2002JD002602</v>
      </c>
      <c r="BG814" t="s">
        <v>74</v>
      </c>
      <c r="BH814" t="s">
        <v>74</v>
      </c>
      <c r="BI814">
        <v>10</v>
      </c>
      <c r="BJ814" t="s">
        <v>93</v>
      </c>
      <c r="BK814" t="s">
        <v>94</v>
      </c>
      <c r="BL814" t="s">
        <v>93</v>
      </c>
      <c r="BM814" t="s">
        <v>11435</v>
      </c>
      <c r="BN814" t="s">
        <v>74</v>
      </c>
      <c r="BO814" t="s">
        <v>96</v>
      </c>
      <c r="BP814" t="s">
        <v>74</v>
      </c>
      <c r="BQ814" t="s">
        <v>74</v>
      </c>
      <c r="BR814" t="s">
        <v>97</v>
      </c>
      <c r="BS814" t="s">
        <v>11436</v>
      </c>
      <c r="BT814" t="str">
        <f>HYPERLINK("https%3A%2F%2Fwww.webofscience.com%2Fwos%2Fwoscc%2Ffull-record%2FWOS:000182069200010","View Full Record in Web of Science")</f>
        <v>View Full Record in Web of Science</v>
      </c>
    </row>
    <row r="815" spans="1:72" x14ac:dyDescent="0.15">
      <c r="A815" t="s">
        <v>72</v>
      </c>
      <c r="B815" t="s">
        <v>11437</v>
      </c>
      <c r="C815" t="s">
        <v>74</v>
      </c>
      <c r="D815" t="s">
        <v>74</v>
      </c>
      <c r="E815" t="s">
        <v>74</v>
      </c>
      <c r="F815" t="s">
        <v>11437</v>
      </c>
      <c r="G815" t="s">
        <v>74</v>
      </c>
      <c r="H815" t="s">
        <v>74</v>
      </c>
      <c r="I815" t="s">
        <v>11438</v>
      </c>
      <c r="J815" t="s">
        <v>665</v>
      </c>
      <c r="K815" t="s">
        <v>74</v>
      </c>
      <c r="L815" t="s">
        <v>74</v>
      </c>
      <c r="M815" t="s">
        <v>77</v>
      </c>
      <c r="N815" t="s">
        <v>78</v>
      </c>
      <c r="O815" t="s">
        <v>74</v>
      </c>
      <c r="P815" t="s">
        <v>74</v>
      </c>
      <c r="Q815" t="s">
        <v>74</v>
      </c>
      <c r="R815" t="s">
        <v>74</v>
      </c>
      <c r="S815" t="s">
        <v>74</v>
      </c>
      <c r="T815" t="s">
        <v>11439</v>
      </c>
      <c r="U815" t="s">
        <v>11440</v>
      </c>
      <c r="V815" t="s">
        <v>11441</v>
      </c>
      <c r="W815" t="s">
        <v>11442</v>
      </c>
      <c r="X815" t="s">
        <v>11443</v>
      </c>
      <c r="Y815" t="s">
        <v>11444</v>
      </c>
      <c r="Z815" t="s">
        <v>11445</v>
      </c>
      <c r="AA815" t="s">
        <v>11446</v>
      </c>
      <c r="AB815" t="s">
        <v>11447</v>
      </c>
      <c r="AC815" t="s">
        <v>74</v>
      </c>
      <c r="AD815" t="s">
        <v>74</v>
      </c>
      <c r="AE815" t="s">
        <v>74</v>
      </c>
      <c r="AF815" t="s">
        <v>74</v>
      </c>
      <c r="AG815">
        <v>60</v>
      </c>
      <c r="AH815">
        <v>33</v>
      </c>
      <c r="AI815">
        <v>39</v>
      </c>
      <c r="AJ815">
        <v>2</v>
      </c>
      <c r="AK815">
        <v>6</v>
      </c>
      <c r="AL815" t="s">
        <v>539</v>
      </c>
      <c r="AM815" t="s">
        <v>540</v>
      </c>
      <c r="AN815" t="s">
        <v>541</v>
      </c>
      <c r="AO815" t="s">
        <v>672</v>
      </c>
      <c r="AP815" t="s">
        <v>673</v>
      </c>
      <c r="AQ815" t="s">
        <v>74</v>
      </c>
      <c r="AR815" t="s">
        <v>674</v>
      </c>
      <c r="AS815" t="s">
        <v>675</v>
      </c>
      <c r="AT815" t="s">
        <v>11448</v>
      </c>
      <c r="AU815">
        <v>2003</v>
      </c>
      <c r="AV815">
        <v>108</v>
      </c>
      <c r="AW815" t="s">
        <v>11449</v>
      </c>
      <c r="AX815" t="s">
        <v>74</v>
      </c>
      <c r="AY815" t="s">
        <v>74</v>
      </c>
      <c r="AZ815" t="s">
        <v>74</v>
      </c>
      <c r="BA815" t="s">
        <v>74</v>
      </c>
      <c r="BB815" t="s">
        <v>74</v>
      </c>
      <c r="BC815" t="s">
        <v>74</v>
      </c>
      <c r="BD815">
        <v>3053</v>
      </c>
      <c r="BE815" t="s">
        <v>11450</v>
      </c>
      <c r="BF815" t="str">
        <f>HYPERLINK("http://dx.doi.org/10.1029/2001JC001167","http://dx.doi.org/10.1029/2001JC001167")</f>
        <v>http://dx.doi.org/10.1029/2001JC001167</v>
      </c>
      <c r="BG815" t="s">
        <v>74</v>
      </c>
      <c r="BH815" t="s">
        <v>74</v>
      </c>
      <c r="BI815">
        <v>17</v>
      </c>
      <c r="BJ815" t="s">
        <v>678</v>
      </c>
      <c r="BK815" t="s">
        <v>94</v>
      </c>
      <c r="BL815" t="s">
        <v>678</v>
      </c>
      <c r="BM815" t="s">
        <v>11451</v>
      </c>
      <c r="BN815" t="s">
        <v>74</v>
      </c>
      <c r="BO815" t="s">
        <v>96</v>
      </c>
      <c r="BP815" t="s">
        <v>74</v>
      </c>
      <c r="BQ815" t="s">
        <v>74</v>
      </c>
      <c r="BR815" t="s">
        <v>97</v>
      </c>
      <c r="BS815" t="s">
        <v>11452</v>
      </c>
      <c r="BT815" t="str">
        <f>HYPERLINK("https%3A%2F%2Fwww.webofscience.com%2Fwos%2Fwoscc%2Ffull-record%2FWOS:000182072400002","View Full Record in Web of Science")</f>
        <v>View Full Record in Web of Science</v>
      </c>
    </row>
    <row r="816" spans="1:72" x14ac:dyDescent="0.15">
      <c r="A816" t="s">
        <v>72</v>
      </c>
      <c r="B816" t="s">
        <v>11453</v>
      </c>
      <c r="C816" t="s">
        <v>74</v>
      </c>
      <c r="D816" t="s">
        <v>74</v>
      </c>
      <c r="E816" t="s">
        <v>74</v>
      </c>
      <c r="F816" t="s">
        <v>11453</v>
      </c>
      <c r="G816" t="s">
        <v>74</v>
      </c>
      <c r="H816" t="s">
        <v>74</v>
      </c>
      <c r="I816" t="s">
        <v>11454</v>
      </c>
      <c r="J816" t="s">
        <v>4208</v>
      </c>
      <c r="K816" t="s">
        <v>74</v>
      </c>
      <c r="L816" t="s">
        <v>74</v>
      </c>
      <c r="M816" t="s">
        <v>77</v>
      </c>
      <c r="N816" t="s">
        <v>78</v>
      </c>
      <c r="O816" t="s">
        <v>74</v>
      </c>
      <c r="P816" t="s">
        <v>74</v>
      </c>
      <c r="Q816" t="s">
        <v>74</v>
      </c>
      <c r="R816" t="s">
        <v>74</v>
      </c>
      <c r="S816" t="s">
        <v>74</v>
      </c>
      <c r="T816" t="s">
        <v>11455</v>
      </c>
      <c r="U816" t="s">
        <v>11456</v>
      </c>
      <c r="V816" t="s">
        <v>11457</v>
      </c>
      <c r="W816" t="s">
        <v>11458</v>
      </c>
      <c r="X816" t="s">
        <v>11459</v>
      </c>
      <c r="Y816" t="s">
        <v>11460</v>
      </c>
      <c r="Z816" t="s">
        <v>11461</v>
      </c>
      <c r="AA816" t="s">
        <v>11462</v>
      </c>
      <c r="AB816" t="s">
        <v>11463</v>
      </c>
      <c r="AC816" t="s">
        <v>74</v>
      </c>
      <c r="AD816" t="s">
        <v>74</v>
      </c>
      <c r="AE816" t="s">
        <v>74</v>
      </c>
      <c r="AF816" t="s">
        <v>74</v>
      </c>
      <c r="AG816">
        <v>30</v>
      </c>
      <c r="AH816">
        <v>11</v>
      </c>
      <c r="AI816">
        <v>13</v>
      </c>
      <c r="AJ816">
        <v>0</v>
      </c>
      <c r="AK816">
        <v>4</v>
      </c>
      <c r="AL816" t="s">
        <v>539</v>
      </c>
      <c r="AM816" t="s">
        <v>540</v>
      </c>
      <c r="AN816" t="s">
        <v>541</v>
      </c>
      <c r="AO816" t="s">
        <v>4218</v>
      </c>
      <c r="AP816" t="s">
        <v>4219</v>
      </c>
      <c r="AQ816" t="s">
        <v>74</v>
      </c>
      <c r="AR816" t="s">
        <v>4220</v>
      </c>
      <c r="AS816" t="s">
        <v>4221</v>
      </c>
      <c r="AT816" t="s">
        <v>11464</v>
      </c>
      <c r="AU816">
        <v>2003</v>
      </c>
      <c r="AV816">
        <v>108</v>
      </c>
      <c r="AW816" t="s">
        <v>11465</v>
      </c>
      <c r="AX816" t="s">
        <v>74</v>
      </c>
      <c r="AY816" t="s">
        <v>74</v>
      </c>
      <c r="AZ816" t="s">
        <v>74</v>
      </c>
      <c r="BA816" t="s">
        <v>74</v>
      </c>
      <c r="BB816" t="s">
        <v>74</v>
      </c>
      <c r="BC816" t="s">
        <v>74</v>
      </c>
      <c r="BD816">
        <v>1090</v>
      </c>
      <c r="BE816" t="s">
        <v>11466</v>
      </c>
      <c r="BF816" t="str">
        <f>HYPERLINK("http://dx.doi.org/10.1029/2002JA009483","http://dx.doi.org/10.1029/2002JA009483")</f>
        <v>http://dx.doi.org/10.1029/2002JA009483</v>
      </c>
      <c r="BG816" t="s">
        <v>74</v>
      </c>
      <c r="BH816" t="s">
        <v>74</v>
      </c>
      <c r="BI816">
        <v>15</v>
      </c>
      <c r="BJ816" t="s">
        <v>1333</v>
      </c>
      <c r="BK816" t="s">
        <v>94</v>
      </c>
      <c r="BL816" t="s">
        <v>1333</v>
      </c>
      <c r="BM816" t="s">
        <v>11467</v>
      </c>
      <c r="BN816" t="s">
        <v>74</v>
      </c>
      <c r="BO816" t="s">
        <v>74</v>
      </c>
      <c r="BP816" t="s">
        <v>74</v>
      </c>
      <c r="BQ816" t="s">
        <v>74</v>
      </c>
      <c r="BR816" t="s">
        <v>97</v>
      </c>
      <c r="BS816" t="s">
        <v>11468</v>
      </c>
      <c r="BT816" t="str">
        <f>HYPERLINK("https%3A%2F%2Fwww.webofscience.com%2Fwos%2Fwoscc%2Ffull-record%2FWOS:000182076600004","View Full Record in Web of Science")</f>
        <v>View Full Record in Web of Science</v>
      </c>
    </row>
    <row r="817" spans="1:72" x14ac:dyDescent="0.15">
      <c r="A817" t="s">
        <v>72</v>
      </c>
      <c r="B817" t="s">
        <v>11469</v>
      </c>
      <c r="C817" t="s">
        <v>74</v>
      </c>
      <c r="D817" t="s">
        <v>74</v>
      </c>
      <c r="E817" t="s">
        <v>74</v>
      </c>
      <c r="F817" t="s">
        <v>11469</v>
      </c>
      <c r="G817" t="s">
        <v>74</v>
      </c>
      <c r="H817" t="s">
        <v>74</v>
      </c>
      <c r="I817" t="s">
        <v>11470</v>
      </c>
      <c r="J817" t="s">
        <v>530</v>
      </c>
      <c r="K817" t="s">
        <v>74</v>
      </c>
      <c r="L817" t="s">
        <v>74</v>
      </c>
      <c r="M817" t="s">
        <v>77</v>
      </c>
      <c r="N817" t="s">
        <v>78</v>
      </c>
      <c r="O817" t="s">
        <v>74</v>
      </c>
      <c r="P817" t="s">
        <v>74</v>
      </c>
      <c r="Q817" t="s">
        <v>74</v>
      </c>
      <c r="R817" t="s">
        <v>74</v>
      </c>
      <c r="S817" t="s">
        <v>74</v>
      </c>
      <c r="T817" t="s">
        <v>74</v>
      </c>
      <c r="U817" t="s">
        <v>11471</v>
      </c>
      <c r="V817" t="s">
        <v>11472</v>
      </c>
      <c r="W817" t="s">
        <v>11473</v>
      </c>
      <c r="X817" t="s">
        <v>11474</v>
      </c>
      <c r="Y817" t="s">
        <v>10614</v>
      </c>
      <c r="Z817" t="s">
        <v>1696</v>
      </c>
      <c r="AA817" t="s">
        <v>74</v>
      </c>
      <c r="AB817" t="s">
        <v>11475</v>
      </c>
      <c r="AC817" t="s">
        <v>74</v>
      </c>
      <c r="AD817" t="s">
        <v>74</v>
      </c>
      <c r="AE817" t="s">
        <v>74</v>
      </c>
      <c r="AF817" t="s">
        <v>74</v>
      </c>
      <c r="AG817">
        <v>16</v>
      </c>
      <c r="AH817">
        <v>176</v>
      </c>
      <c r="AI817">
        <v>194</v>
      </c>
      <c r="AJ817">
        <v>2</v>
      </c>
      <c r="AK817">
        <v>41</v>
      </c>
      <c r="AL817" t="s">
        <v>539</v>
      </c>
      <c r="AM817" t="s">
        <v>540</v>
      </c>
      <c r="AN817" t="s">
        <v>541</v>
      </c>
      <c r="AO817" t="s">
        <v>542</v>
      </c>
      <c r="AP817" t="s">
        <v>543</v>
      </c>
      <c r="AQ817" t="s">
        <v>74</v>
      </c>
      <c r="AR817" t="s">
        <v>544</v>
      </c>
      <c r="AS817" t="s">
        <v>545</v>
      </c>
      <c r="AT817" t="s">
        <v>11476</v>
      </c>
      <c r="AU817">
        <v>2003</v>
      </c>
      <c r="AV817">
        <v>30</v>
      </c>
      <c r="AW817">
        <v>4</v>
      </c>
      <c r="AX817" t="s">
        <v>74</v>
      </c>
      <c r="AY817" t="s">
        <v>74</v>
      </c>
      <c r="AZ817" t="s">
        <v>74</v>
      </c>
      <c r="BA817" t="s">
        <v>74</v>
      </c>
      <c r="BB817" t="s">
        <v>74</v>
      </c>
      <c r="BC817" t="s">
        <v>74</v>
      </c>
      <c r="BD817">
        <v>1167</v>
      </c>
      <c r="BE817" t="s">
        <v>11477</v>
      </c>
      <c r="BF817" t="str">
        <f>HYPERLINK("http://dx.doi.org/10.1029/2002GL016446","http://dx.doi.org/10.1029/2002GL016446")</f>
        <v>http://dx.doi.org/10.1029/2002GL016446</v>
      </c>
      <c r="BG817" t="s">
        <v>74</v>
      </c>
      <c r="BH817" t="s">
        <v>74</v>
      </c>
      <c r="BI817">
        <v>4</v>
      </c>
      <c r="BJ817" t="s">
        <v>548</v>
      </c>
      <c r="BK817" t="s">
        <v>94</v>
      </c>
      <c r="BL817" t="s">
        <v>549</v>
      </c>
      <c r="BM817" t="s">
        <v>11478</v>
      </c>
      <c r="BN817" t="s">
        <v>74</v>
      </c>
      <c r="BO817" t="s">
        <v>74</v>
      </c>
      <c r="BP817" t="s">
        <v>74</v>
      </c>
      <c r="BQ817" t="s">
        <v>74</v>
      </c>
      <c r="BR817" t="s">
        <v>97</v>
      </c>
      <c r="BS817" t="s">
        <v>11479</v>
      </c>
      <c r="BT817" t="str">
        <f>HYPERLINK("https%3A%2F%2Fwww.webofscience.com%2Fwos%2Fwoscc%2Ffull-record%2FWOS:000181983300004","View Full Record in Web of Science")</f>
        <v>View Full Record in Web of Science</v>
      </c>
    </row>
    <row r="818" spans="1:72" x14ac:dyDescent="0.15">
      <c r="A818" t="s">
        <v>72</v>
      </c>
      <c r="B818" t="s">
        <v>11480</v>
      </c>
      <c r="C818" t="s">
        <v>74</v>
      </c>
      <c r="D818" t="s">
        <v>74</v>
      </c>
      <c r="E818" t="s">
        <v>74</v>
      </c>
      <c r="F818" t="s">
        <v>11480</v>
      </c>
      <c r="G818" t="s">
        <v>74</v>
      </c>
      <c r="H818" t="s">
        <v>74</v>
      </c>
      <c r="I818" t="s">
        <v>11481</v>
      </c>
      <c r="J818" t="s">
        <v>645</v>
      </c>
      <c r="K818" t="s">
        <v>74</v>
      </c>
      <c r="L818" t="s">
        <v>74</v>
      </c>
      <c r="M818" t="s">
        <v>77</v>
      </c>
      <c r="N818" t="s">
        <v>78</v>
      </c>
      <c r="O818" t="s">
        <v>74</v>
      </c>
      <c r="P818" t="s">
        <v>74</v>
      </c>
      <c r="Q818" t="s">
        <v>74</v>
      </c>
      <c r="R818" t="s">
        <v>74</v>
      </c>
      <c r="S818" t="s">
        <v>74</v>
      </c>
      <c r="T818" t="s">
        <v>11482</v>
      </c>
      <c r="U818" t="s">
        <v>11483</v>
      </c>
      <c r="V818" t="s">
        <v>11484</v>
      </c>
      <c r="W818" t="s">
        <v>11485</v>
      </c>
      <c r="X818" t="s">
        <v>11486</v>
      </c>
      <c r="Y818" t="s">
        <v>11487</v>
      </c>
      <c r="Z818" t="s">
        <v>11488</v>
      </c>
      <c r="AA818" t="s">
        <v>74</v>
      </c>
      <c r="AB818" t="s">
        <v>74</v>
      </c>
      <c r="AC818" t="s">
        <v>74</v>
      </c>
      <c r="AD818" t="s">
        <v>74</v>
      </c>
      <c r="AE818" t="s">
        <v>74</v>
      </c>
      <c r="AF818" t="s">
        <v>74</v>
      </c>
      <c r="AG818">
        <v>47</v>
      </c>
      <c r="AH818">
        <v>59</v>
      </c>
      <c r="AI818">
        <v>68</v>
      </c>
      <c r="AJ818">
        <v>0</v>
      </c>
      <c r="AK818">
        <v>10</v>
      </c>
      <c r="AL818" t="s">
        <v>539</v>
      </c>
      <c r="AM818" t="s">
        <v>540</v>
      </c>
      <c r="AN818" t="s">
        <v>541</v>
      </c>
      <c r="AO818" t="s">
        <v>653</v>
      </c>
      <c r="AP818" t="s">
        <v>654</v>
      </c>
      <c r="AQ818" t="s">
        <v>74</v>
      </c>
      <c r="AR818" t="s">
        <v>655</v>
      </c>
      <c r="AS818" t="s">
        <v>656</v>
      </c>
      <c r="AT818" t="s">
        <v>11489</v>
      </c>
      <c r="AU818">
        <v>2003</v>
      </c>
      <c r="AV818">
        <v>17</v>
      </c>
      <c r="AW818">
        <v>1</v>
      </c>
      <c r="AX818" t="s">
        <v>74</v>
      </c>
      <c r="AY818" t="s">
        <v>74</v>
      </c>
      <c r="AZ818" t="s">
        <v>74</v>
      </c>
      <c r="BA818" t="s">
        <v>74</v>
      </c>
      <c r="BB818" t="s">
        <v>74</v>
      </c>
      <c r="BC818" t="s">
        <v>74</v>
      </c>
      <c r="BD818">
        <v>1017</v>
      </c>
      <c r="BE818" t="s">
        <v>11490</v>
      </c>
      <c r="BF818" t="str">
        <f>HYPERLINK("http://dx.doi.org/10.1029/2002GB001910","http://dx.doi.org/10.1029/2002GB001910")</f>
        <v>http://dx.doi.org/10.1029/2002GB001910</v>
      </c>
      <c r="BG818" t="s">
        <v>74</v>
      </c>
      <c r="BH818" t="s">
        <v>74</v>
      </c>
      <c r="BI818">
        <v>14</v>
      </c>
      <c r="BJ818" t="s">
        <v>659</v>
      </c>
      <c r="BK818" t="s">
        <v>94</v>
      </c>
      <c r="BL818" t="s">
        <v>660</v>
      </c>
      <c r="BM818" t="s">
        <v>11491</v>
      </c>
      <c r="BN818" t="s">
        <v>74</v>
      </c>
      <c r="BO818" t="s">
        <v>96</v>
      </c>
      <c r="BP818" t="s">
        <v>74</v>
      </c>
      <c r="BQ818" t="s">
        <v>74</v>
      </c>
      <c r="BR818" t="s">
        <v>97</v>
      </c>
      <c r="BS818" t="s">
        <v>11492</v>
      </c>
      <c r="BT818" t="str">
        <f>HYPERLINK("https%3A%2F%2Fwww.webofscience.com%2Fwos%2Fwoscc%2Ffull-record%2FWOS:000181983500002","View Full Record in Web of Science")</f>
        <v>View Full Record in Web of Science</v>
      </c>
    </row>
    <row r="819" spans="1:72" x14ac:dyDescent="0.15">
      <c r="A819" t="s">
        <v>72</v>
      </c>
      <c r="B819" t="s">
        <v>11493</v>
      </c>
      <c r="C819" t="s">
        <v>74</v>
      </c>
      <c r="D819" t="s">
        <v>74</v>
      </c>
      <c r="E819" t="s">
        <v>74</v>
      </c>
      <c r="F819" t="s">
        <v>11493</v>
      </c>
      <c r="G819" t="s">
        <v>74</v>
      </c>
      <c r="H819" t="s">
        <v>74</v>
      </c>
      <c r="I819" t="s">
        <v>11494</v>
      </c>
      <c r="J819" t="s">
        <v>11495</v>
      </c>
      <c r="K819" t="s">
        <v>74</v>
      </c>
      <c r="L819" t="s">
        <v>74</v>
      </c>
      <c r="M819" t="s">
        <v>77</v>
      </c>
      <c r="N819" t="s">
        <v>78</v>
      </c>
      <c r="O819" t="s">
        <v>74</v>
      </c>
      <c r="P819" t="s">
        <v>74</v>
      </c>
      <c r="Q819" t="s">
        <v>74</v>
      </c>
      <c r="R819" t="s">
        <v>74</v>
      </c>
      <c r="S819" t="s">
        <v>74</v>
      </c>
      <c r="T819" t="s">
        <v>11496</v>
      </c>
      <c r="U819" t="s">
        <v>11497</v>
      </c>
      <c r="V819" t="s">
        <v>11498</v>
      </c>
      <c r="W819" t="s">
        <v>11499</v>
      </c>
      <c r="X819" t="s">
        <v>11500</v>
      </c>
      <c r="Y819" t="s">
        <v>11501</v>
      </c>
      <c r="Z819" t="s">
        <v>74</v>
      </c>
      <c r="AA819" t="s">
        <v>11502</v>
      </c>
      <c r="AB819" t="s">
        <v>11503</v>
      </c>
      <c r="AC819" t="s">
        <v>74</v>
      </c>
      <c r="AD819" t="s">
        <v>74</v>
      </c>
      <c r="AE819" t="s">
        <v>74</v>
      </c>
      <c r="AF819" t="s">
        <v>74</v>
      </c>
      <c r="AG819">
        <v>44</v>
      </c>
      <c r="AH819">
        <v>5</v>
      </c>
      <c r="AI819">
        <v>7</v>
      </c>
      <c r="AJ819">
        <v>0</v>
      </c>
      <c r="AK819">
        <v>4</v>
      </c>
      <c r="AL819" t="s">
        <v>11504</v>
      </c>
      <c r="AM819" t="s">
        <v>964</v>
      </c>
      <c r="AN819" t="s">
        <v>11505</v>
      </c>
      <c r="AO819" t="s">
        <v>11506</v>
      </c>
      <c r="AP819" t="s">
        <v>74</v>
      </c>
      <c r="AQ819" t="s">
        <v>74</v>
      </c>
      <c r="AR819" t="s">
        <v>11507</v>
      </c>
      <c r="AS819" t="s">
        <v>11508</v>
      </c>
      <c r="AT819" t="s">
        <v>11509</v>
      </c>
      <c r="AU819">
        <v>2003</v>
      </c>
      <c r="AV819">
        <v>370</v>
      </c>
      <c r="AW819" t="s">
        <v>74</v>
      </c>
      <c r="AX819">
        <v>1</v>
      </c>
      <c r="AY819" t="s">
        <v>74</v>
      </c>
      <c r="AZ819" t="s">
        <v>74</v>
      </c>
      <c r="BA819" t="s">
        <v>74</v>
      </c>
      <c r="BB819">
        <v>245</v>
      </c>
      <c r="BC819">
        <v>253</v>
      </c>
      <c r="BD819" t="s">
        <v>74</v>
      </c>
      <c r="BE819" t="s">
        <v>11510</v>
      </c>
      <c r="BF819" t="str">
        <f>HYPERLINK("http://dx.doi.org/10.1042/BJ20020727","http://dx.doi.org/10.1042/BJ20020727")</f>
        <v>http://dx.doi.org/10.1042/BJ20020727</v>
      </c>
      <c r="BG819" t="s">
        <v>74</v>
      </c>
      <c r="BH819" t="s">
        <v>74</v>
      </c>
      <c r="BI819">
        <v>9</v>
      </c>
      <c r="BJ819" t="s">
        <v>2709</v>
      </c>
      <c r="BK819" t="s">
        <v>94</v>
      </c>
      <c r="BL819" t="s">
        <v>2709</v>
      </c>
      <c r="BM819" t="s">
        <v>11511</v>
      </c>
      <c r="BN819">
        <v>12423205</v>
      </c>
      <c r="BO819" t="s">
        <v>154</v>
      </c>
      <c r="BP819" t="s">
        <v>74</v>
      </c>
      <c r="BQ819" t="s">
        <v>74</v>
      </c>
      <c r="BR819" t="s">
        <v>97</v>
      </c>
      <c r="BS819" t="s">
        <v>11512</v>
      </c>
      <c r="BT819" t="str">
        <f>HYPERLINK("https%3A%2F%2Fwww.webofscience.com%2Fwos%2Fwoscc%2Ffull-record%2FWOS:000181276500025","View Full Record in Web of Science")</f>
        <v>View Full Record in Web of Science</v>
      </c>
    </row>
    <row r="820" spans="1:72" x14ac:dyDescent="0.15">
      <c r="A820" t="s">
        <v>72</v>
      </c>
      <c r="B820" t="s">
        <v>11513</v>
      </c>
      <c r="C820" t="s">
        <v>74</v>
      </c>
      <c r="D820" t="s">
        <v>74</v>
      </c>
      <c r="E820" t="s">
        <v>74</v>
      </c>
      <c r="F820" t="s">
        <v>11513</v>
      </c>
      <c r="G820" t="s">
        <v>74</v>
      </c>
      <c r="H820" t="s">
        <v>74</v>
      </c>
      <c r="I820" t="s">
        <v>11514</v>
      </c>
      <c r="J820" t="s">
        <v>1033</v>
      </c>
      <c r="K820" t="s">
        <v>74</v>
      </c>
      <c r="L820" t="s">
        <v>74</v>
      </c>
      <c r="M820" t="s">
        <v>77</v>
      </c>
      <c r="N820" t="s">
        <v>78</v>
      </c>
      <c r="O820" t="s">
        <v>74</v>
      </c>
      <c r="P820" t="s">
        <v>74</v>
      </c>
      <c r="Q820" t="s">
        <v>74</v>
      </c>
      <c r="R820" t="s">
        <v>74</v>
      </c>
      <c r="S820" t="s">
        <v>74</v>
      </c>
      <c r="T820" t="s">
        <v>74</v>
      </c>
      <c r="U820" t="s">
        <v>11515</v>
      </c>
      <c r="V820" t="s">
        <v>11516</v>
      </c>
      <c r="W820" t="s">
        <v>11517</v>
      </c>
      <c r="X820" t="s">
        <v>11518</v>
      </c>
      <c r="Y820" t="s">
        <v>11519</v>
      </c>
      <c r="Z820" t="s">
        <v>11520</v>
      </c>
      <c r="AA820" t="s">
        <v>11521</v>
      </c>
      <c r="AB820" t="s">
        <v>11522</v>
      </c>
      <c r="AC820" t="s">
        <v>74</v>
      </c>
      <c r="AD820" t="s">
        <v>74</v>
      </c>
      <c r="AE820" t="s">
        <v>74</v>
      </c>
      <c r="AF820" t="s">
        <v>74</v>
      </c>
      <c r="AG820">
        <v>67</v>
      </c>
      <c r="AH820">
        <v>369</v>
      </c>
      <c r="AI820">
        <v>413</v>
      </c>
      <c r="AJ820">
        <v>2</v>
      </c>
      <c r="AK820">
        <v>106</v>
      </c>
      <c r="AL820" t="s">
        <v>110</v>
      </c>
      <c r="AM820" t="s">
        <v>111</v>
      </c>
      <c r="AN820" t="s">
        <v>112</v>
      </c>
      <c r="AO820" t="s">
        <v>1043</v>
      </c>
      <c r="AP820" t="s">
        <v>1044</v>
      </c>
      <c r="AQ820" t="s">
        <v>74</v>
      </c>
      <c r="AR820" t="s">
        <v>1045</v>
      </c>
      <c r="AS820" t="s">
        <v>1046</v>
      </c>
      <c r="AT820" t="s">
        <v>11509</v>
      </c>
      <c r="AU820">
        <v>2003</v>
      </c>
      <c r="AV820">
        <v>206</v>
      </c>
      <c r="AW820" t="s">
        <v>116</v>
      </c>
      <c r="AX820" t="s">
        <v>74</v>
      </c>
      <c r="AY820" t="s">
        <v>74</v>
      </c>
      <c r="AZ820" t="s">
        <v>74</v>
      </c>
      <c r="BA820" t="s">
        <v>74</v>
      </c>
      <c r="BB820">
        <v>253</v>
      </c>
      <c r="BC820">
        <v>271</v>
      </c>
      <c r="BD820" t="s">
        <v>74</v>
      </c>
      <c r="BE820" t="s">
        <v>11523</v>
      </c>
      <c r="BF820" t="str">
        <f>HYPERLINK("http://dx.doi.org/10.1016/S0012-821X(02)01107-X","http://dx.doi.org/10.1016/S0012-821X(02)01107-X")</f>
        <v>http://dx.doi.org/10.1016/S0012-821X(02)01107-X</v>
      </c>
      <c r="BG820" t="s">
        <v>74</v>
      </c>
      <c r="BH820" t="s">
        <v>74</v>
      </c>
      <c r="BI820">
        <v>19</v>
      </c>
      <c r="BJ820" t="s">
        <v>176</v>
      </c>
      <c r="BK820" t="s">
        <v>94</v>
      </c>
      <c r="BL820" t="s">
        <v>176</v>
      </c>
      <c r="BM820" t="s">
        <v>11524</v>
      </c>
      <c r="BN820" t="s">
        <v>74</v>
      </c>
      <c r="BO820" t="s">
        <v>74</v>
      </c>
      <c r="BP820" t="s">
        <v>74</v>
      </c>
      <c r="BQ820" t="s">
        <v>74</v>
      </c>
      <c r="BR820" t="s">
        <v>97</v>
      </c>
      <c r="BS820" t="s">
        <v>11525</v>
      </c>
      <c r="BT820" t="str">
        <f>HYPERLINK("https%3A%2F%2Fwww.webofscience.com%2Fwos%2Fwoscc%2Ffull-record%2FWOS:000180988000002","View Full Record in Web of Science")</f>
        <v>View Full Record in Web of Science</v>
      </c>
    </row>
    <row r="821" spans="1:72" x14ac:dyDescent="0.15">
      <c r="A821" t="s">
        <v>72</v>
      </c>
      <c r="B821" t="s">
        <v>11526</v>
      </c>
      <c r="C821" t="s">
        <v>74</v>
      </c>
      <c r="D821" t="s">
        <v>74</v>
      </c>
      <c r="E821" t="s">
        <v>74</v>
      </c>
      <c r="F821" t="s">
        <v>11526</v>
      </c>
      <c r="G821" t="s">
        <v>74</v>
      </c>
      <c r="H821" t="s">
        <v>74</v>
      </c>
      <c r="I821" t="s">
        <v>11527</v>
      </c>
      <c r="J821" t="s">
        <v>11528</v>
      </c>
      <c r="K821" t="s">
        <v>74</v>
      </c>
      <c r="L821" t="s">
        <v>74</v>
      </c>
      <c r="M821" t="s">
        <v>77</v>
      </c>
      <c r="N821" t="s">
        <v>78</v>
      </c>
      <c r="O821" t="s">
        <v>74</v>
      </c>
      <c r="P821" t="s">
        <v>74</v>
      </c>
      <c r="Q821" t="s">
        <v>74</v>
      </c>
      <c r="R821" t="s">
        <v>74</v>
      </c>
      <c r="S821" t="s">
        <v>74</v>
      </c>
      <c r="T821" t="s">
        <v>74</v>
      </c>
      <c r="U821" t="s">
        <v>11529</v>
      </c>
      <c r="V821" t="s">
        <v>11530</v>
      </c>
      <c r="W821" t="s">
        <v>11531</v>
      </c>
      <c r="X821" t="s">
        <v>11532</v>
      </c>
      <c r="Y821" t="s">
        <v>11533</v>
      </c>
      <c r="Z821" t="s">
        <v>74</v>
      </c>
      <c r="AA821" t="s">
        <v>11534</v>
      </c>
      <c r="AB821" t="s">
        <v>11535</v>
      </c>
      <c r="AC821" t="s">
        <v>11536</v>
      </c>
      <c r="AD821" t="s">
        <v>3332</v>
      </c>
      <c r="AE821" t="s">
        <v>74</v>
      </c>
      <c r="AF821" t="s">
        <v>74</v>
      </c>
      <c r="AG821">
        <v>57</v>
      </c>
      <c r="AH821">
        <v>12</v>
      </c>
      <c r="AI821">
        <v>16</v>
      </c>
      <c r="AJ821">
        <v>0</v>
      </c>
      <c r="AK821">
        <v>12</v>
      </c>
      <c r="AL821" t="s">
        <v>2268</v>
      </c>
      <c r="AM821" t="s">
        <v>229</v>
      </c>
      <c r="AN821" t="s">
        <v>2269</v>
      </c>
      <c r="AO821" t="s">
        <v>11537</v>
      </c>
      <c r="AP821" t="s">
        <v>74</v>
      </c>
      <c r="AQ821" t="s">
        <v>74</v>
      </c>
      <c r="AR821" t="s">
        <v>11538</v>
      </c>
      <c r="AS821" t="s">
        <v>11539</v>
      </c>
      <c r="AT821" t="s">
        <v>11509</v>
      </c>
      <c r="AU821">
        <v>2003</v>
      </c>
      <c r="AV821" t="s">
        <v>11540</v>
      </c>
      <c r="AW821">
        <v>1</v>
      </c>
      <c r="AX821" t="s">
        <v>74</v>
      </c>
      <c r="AY821" t="s">
        <v>74</v>
      </c>
      <c r="AZ821" t="s">
        <v>74</v>
      </c>
      <c r="BA821" t="s">
        <v>74</v>
      </c>
      <c r="BB821">
        <v>45</v>
      </c>
      <c r="BC821">
        <v>58</v>
      </c>
      <c r="BD821" t="s">
        <v>74</v>
      </c>
      <c r="BE821" t="s">
        <v>11541</v>
      </c>
      <c r="BF821" t="str">
        <f>HYPERLINK("http://dx.doi.org/10.1002/jez.b.00004","http://dx.doi.org/10.1002/jez.b.00004")</f>
        <v>http://dx.doi.org/10.1002/jez.b.00004</v>
      </c>
      <c r="BG821" t="s">
        <v>74</v>
      </c>
      <c r="BH821" t="s">
        <v>74</v>
      </c>
      <c r="BI821">
        <v>14</v>
      </c>
      <c r="BJ821" t="s">
        <v>11542</v>
      </c>
      <c r="BK821" t="s">
        <v>94</v>
      </c>
      <c r="BL821" t="s">
        <v>11542</v>
      </c>
      <c r="BM821" t="s">
        <v>11543</v>
      </c>
      <c r="BN821">
        <v>12548542</v>
      </c>
      <c r="BO821" t="s">
        <v>74</v>
      </c>
      <c r="BP821" t="s">
        <v>74</v>
      </c>
      <c r="BQ821" t="s">
        <v>74</v>
      </c>
      <c r="BR821" t="s">
        <v>97</v>
      </c>
      <c r="BS821" t="s">
        <v>11544</v>
      </c>
      <c r="BT821" t="str">
        <f>HYPERLINK("https%3A%2F%2Fwww.webofscience.com%2Fwos%2Fwoscc%2Ffull-record%2FWOS:000182421300004","View Full Record in Web of Science")</f>
        <v>View Full Record in Web of Science</v>
      </c>
    </row>
    <row r="822" spans="1:72" x14ac:dyDescent="0.15">
      <c r="A822" t="s">
        <v>72</v>
      </c>
      <c r="B822" t="s">
        <v>11545</v>
      </c>
      <c r="C822" t="s">
        <v>74</v>
      </c>
      <c r="D822" t="s">
        <v>74</v>
      </c>
      <c r="E822" t="s">
        <v>74</v>
      </c>
      <c r="F822" t="s">
        <v>11545</v>
      </c>
      <c r="G822" t="s">
        <v>74</v>
      </c>
      <c r="H822" t="s">
        <v>74</v>
      </c>
      <c r="I822" t="s">
        <v>11546</v>
      </c>
      <c r="J822" t="s">
        <v>8979</v>
      </c>
      <c r="K822" t="s">
        <v>74</v>
      </c>
      <c r="L822" t="s">
        <v>74</v>
      </c>
      <c r="M822" t="s">
        <v>77</v>
      </c>
      <c r="N822" t="s">
        <v>78</v>
      </c>
      <c r="O822" t="s">
        <v>74</v>
      </c>
      <c r="P822" t="s">
        <v>74</v>
      </c>
      <c r="Q822" t="s">
        <v>74</v>
      </c>
      <c r="R822" t="s">
        <v>74</v>
      </c>
      <c r="S822" t="s">
        <v>74</v>
      </c>
      <c r="T822" t="s">
        <v>11547</v>
      </c>
      <c r="U822" t="s">
        <v>11548</v>
      </c>
      <c r="V822" t="s">
        <v>11549</v>
      </c>
      <c r="W822" t="s">
        <v>11550</v>
      </c>
      <c r="X822" t="s">
        <v>11551</v>
      </c>
      <c r="Y822" t="s">
        <v>11552</v>
      </c>
      <c r="Z822" t="s">
        <v>74</v>
      </c>
      <c r="AA822" t="s">
        <v>11553</v>
      </c>
      <c r="AB822" t="s">
        <v>11554</v>
      </c>
      <c r="AC822" t="s">
        <v>74</v>
      </c>
      <c r="AD822" t="s">
        <v>74</v>
      </c>
      <c r="AE822" t="s">
        <v>74</v>
      </c>
      <c r="AF822" t="s">
        <v>74</v>
      </c>
      <c r="AG822">
        <v>59</v>
      </c>
      <c r="AH822">
        <v>57</v>
      </c>
      <c r="AI822">
        <v>65</v>
      </c>
      <c r="AJ822">
        <v>1</v>
      </c>
      <c r="AK822">
        <v>10</v>
      </c>
      <c r="AL822" t="s">
        <v>110</v>
      </c>
      <c r="AM822" t="s">
        <v>111</v>
      </c>
      <c r="AN822" t="s">
        <v>112</v>
      </c>
      <c r="AO822" t="s">
        <v>8989</v>
      </c>
      <c r="AP822" t="s">
        <v>74</v>
      </c>
      <c r="AQ822" t="s">
        <v>74</v>
      </c>
      <c r="AR822" t="s">
        <v>8991</v>
      </c>
      <c r="AS822" t="s">
        <v>8992</v>
      </c>
      <c r="AT822" t="s">
        <v>11509</v>
      </c>
      <c r="AU822">
        <v>2003</v>
      </c>
      <c r="AV822">
        <v>193</v>
      </c>
      <c r="AW822" t="s">
        <v>116</v>
      </c>
      <c r="AX822" t="s">
        <v>74</v>
      </c>
      <c r="AY822" t="s">
        <v>74</v>
      </c>
      <c r="AZ822" t="s">
        <v>74</v>
      </c>
      <c r="BA822" t="s">
        <v>74</v>
      </c>
      <c r="BB822">
        <v>235</v>
      </c>
      <c r="BC822">
        <v>252</v>
      </c>
      <c r="BD822" t="s">
        <v>74</v>
      </c>
      <c r="BE822" t="s">
        <v>11555</v>
      </c>
      <c r="BF822" t="str">
        <f>HYPERLINK("http://dx.doi.org/10.1016/S0025-3227(02)00664-3","http://dx.doi.org/10.1016/S0025-3227(02)00664-3")</f>
        <v>http://dx.doi.org/10.1016/S0025-3227(02)00664-3</v>
      </c>
      <c r="BG822" t="s">
        <v>74</v>
      </c>
      <c r="BH822" t="s">
        <v>74</v>
      </c>
      <c r="BI822">
        <v>18</v>
      </c>
      <c r="BJ822" t="s">
        <v>8994</v>
      </c>
      <c r="BK822" t="s">
        <v>94</v>
      </c>
      <c r="BL822" t="s">
        <v>8995</v>
      </c>
      <c r="BM822" t="s">
        <v>11556</v>
      </c>
      <c r="BN822" t="s">
        <v>74</v>
      </c>
      <c r="BO822" t="s">
        <v>1767</v>
      </c>
      <c r="BP822" t="s">
        <v>74</v>
      </c>
      <c r="BQ822" t="s">
        <v>74</v>
      </c>
      <c r="BR822" t="s">
        <v>97</v>
      </c>
      <c r="BS822" t="s">
        <v>11557</v>
      </c>
      <c r="BT822" t="str">
        <f>HYPERLINK("https%3A%2F%2Fwww.webofscience.com%2Fwos%2Fwoscc%2Ffull-record%2FWOS:000181296600005","View Full Record in Web of Science")</f>
        <v>View Full Record in Web of Science</v>
      </c>
    </row>
    <row r="823" spans="1:72" x14ac:dyDescent="0.15">
      <c r="A823" t="s">
        <v>72</v>
      </c>
      <c r="B823" t="s">
        <v>11558</v>
      </c>
      <c r="C823" t="s">
        <v>74</v>
      </c>
      <c r="D823" t="s">
        <v>74</v>
      </c>
      <c r="E823" t="s">
        <v>74</v>
      </c>
      <c r="F823" t="s">
        <v>11558</v>
      </c>
      <c r="G823" t="s">
        <v>74</v>
      </c>
      <c r="H823" t="s">
        <v>74</v>
      </c>
      <c r="I823" t="s">
        <v>11559</v>
      </c>
      <c r="J823" t="s">
        <v>8979</v>
      </c>
      <c r="K823" t="s">
        <v>74</v>
      </c>
      <c r="L823" t="s">
        <v>74</v>
      </c>
      <c r="M823" t="s">
        <v>77</v>
      </c>
      <c r="N823" t="s">
        <v>78</v>
      </c>
      <c r="O823" t="s">
        <v>74</v>
      </c>
      <c r="P823" t="s">
        <v>74</v>
      </c>
      <c r="Q823" t="s">
        <v>74</v>
      </c>
      <c r="R823" t="s">
        <v>74</v>
      </c>
      <c r="S823" t="s">
        <v>74</v>
      </c>
      <c r="T823" t="s">
        <v>11560</v>
      </c>
      <c r="U823" t="s">
        <v>11561</v>
      </c>
      <c r="V823" t="s">
        <v>11562</v>
      </c>
      <c r="W823" t="s">
        <v>11563</v>
      </c>
      <c r="X823" t="s">
        <v>7141</v>
      </c>
      <c r="Y823" t="s">
        <v>11564</v>
      </c>
      <c r="Z823" t="s">
        <v>11565</v>
      </c>
      <c r="AA823" t="s">
        <v>74</v>
      </c>
      <c r="AB823" t="s">
        <v>11566</v>
      </c>
      <c r="AC823" t="s">
        <v>74</v>
      </c>
      <c r="AD823" t="s">
        <v>74</v>
      </c>
      <c r="AE823" t="s">
        <v>74</v>
      </c>
      <c r="AF823" t="s">
        <v>74</v>
      </c>
      <c r="AG823">
        <v>68</v>
      </c>
      <c r="AH823">
        <v>69</v>
      </c>
      <c r="AI823">
        <v>74</v>
      </c>
      <c r="AJ823">
        <v>0</v>
      </c>
      <c r="AK823">
        <v>24</v>
      </c>
      <c r="AL823" t="s">
        <v>110</v>
      </c>
      <c r="AM823" t="s">
        <v>111</v>
      </c>
      <c r="AN823" t="s">
        <v>112</v>
      </c>
      <c r="AO823" t="s">
        <v>8989</v>
      </c>
      <c r="AP823" t="s">
        <v>74</v>
      </c>
      <c r="AQ823" t="s">
        <v>74</v>
      </c>
      <c r="AR823" t="s">
        <v>8991</v>
      </c>
      <c r="AS823" t="s">
        <v>8992</v>
      </c>
      <c r="AT823" t="s">
        <v>11509</v>
      </c>
      <c r="AU823">
        <v>2003</v>
      </c>
      <c r="AV823">
        <v>193</v>
      </c>
      <c r="AW823" t="s">
        <v>116</v>
      </c>
      <c r="AX823" t="s">
        <v>74</v>
      </c>
      <c r="AY823" t="s">
        <v>74</v>
      </c>
      <c r="AZ823" t="s">
        <v>74</v>
      </c>
      <c r="BA823" t="s">
        <v>74</v>
      </c>
      <c r="BB823">
        <v>253</v>
      </c>
      <c r="BC823">
        <v>271</v>
      </c>
      <c r="BD823" t="s">
        <v>11567</v>
      </c>
      <c r="BE823" t="s">
        <v>11568</v>
      </c>
      <c r="BF823" t="str">
        <f>HYPERLINK("http://dx.doi.org/10.1016/S0025-3227(02)00659-X","http://dx.doi.org/10.1016/S0025-3227(02)00659-X")</f>
        <v>http://dx.doi.org/10.1016/S0025-3227(02)00659-X</v>
      </c>
      <c r="BG823" t="s">
        <v>74</v>
      </c>
      <c r="BH823" t="s">
        <v>74</v>
      </c>
      <c r="BI823">
        <v>19</v>
      </c>
      <c r="BJ823" t="s">
        <v>8994</v>
      </c>
      <c r="BK823" t="s">
        <v>94</v>
      </c>
      <c r="BL823" t="s">
        <v>8995</v>
      </c>
      <c r="BM823" t="s">
        <v>11556</v>
      </c>
      <c r="BN823" t="s">
        <v>74</v>
      </c>
      <c r="BO823" t="s">
        <v>74</v>
      </c>
      <c r="BP823" t="s">
        <v>74</v>
      </c>
      <c r="BQ823" t="s">
        <v>74</v>
      </c>
      <c r="BR823" t="s">
        <v>97</v>
      </c>
      <c r="BS823" t="s">
        <v>11569</v>
      </c>
      <c r="BT823" t="str">
        <f>HYPERLINK("https%3A%2F%2Fwww.webofscience.com%2Fwos%2Fwoscc%2Ffull-record%2FWOS:000181296600006","View Full Record in Web of Science")</f>
        <v>View Full Record in Web of Science</v>
      </c>
    </row>
    <row r="824" spans="1:72" x14ac:dyDescent="0.15">
      <c r="A824" t="s">
        <v>72</v>
      </c>
      <c r="B824" t="s">
        <v>11570</v>
      </c>
      <c r="C824" t="s">
        <v>74</v>
      </c>
      <c r="D824" t="s">
        <v>74</v>
      </c>
      <c r="E824" t="s">
        <v>74</v>
      </c>
      <c r="F824" t="s">
        <v>11570</v>
      </c>
      <c r="G824" t="s">
        <v>74</v>
      </c>
      <c r="H824" t="s">
        <v>74</v>
      </c>
      <c r="I824" t="s">
        <v>11571</v>
      </c>
      <c r="J824" t="s">
        <v>772</v>
      </c>
      <c r="K824" t="s">
        <v>74</v>
      </c>
      <c r="L824" t="s">
        <v>74</v>
      </c>
      <c r="M824" t="s">
        <v>77</v>
      </c>
      <c r="N824" t="s">
        <v>78</v>
      </c>
      <c r="O824" t="s">
        <v>74</v>
      </c>
      <c r="P824" t="s">
        <v>74</v>
      </c>
      <c r="Q824" t="s">
        <v>74</v>
      </c>
      <c r="R824" t="s">
        <v>74</v>
      </c>
      <c r="S824" t="s">
        <v>74</v>
      </c>
      <c r="T824" t="s">
        <v>11572</v>
      </c>
      <c r="U824" t="s">
        <v>11573</v>
      </c>
      <c r="V824" t="s">
        <v>11574</v>
      </c>
      <c r="W824" t="s">
        <v>11575</v>
      </c>
      <c r="X824" t="s">
        <v>11576</v>
      </c>
      <c r="Y824" t="s">
        <v>11577</v>
      </c>
      <c r="Z824" t="s">
        <v>11578</v>
      </c>
      <c r="AA824" t="s">
        <v>74</v>
      </c>
      <c r="AB824" t="s">
        <v>74</v>
      </c>
      <c r="AC824" t="s">
        <v>74</v>
      </c>
      <c r="AD824" t="s">
        <v>74</v>
      </c>
      <c r="AE824" t="s">
        <v>74</v>
      </c>
      <c r="AF824" t="s">
        <v>74</v>
      </c>
      <c r="AG824">
        <v>71</v>
      </c>
      <c r="AH824">
        <v>37</v>
      </c>
      <c r="AI824">
        <v>41</v>
      </c>
      <c r="AJ824">
        <v>0</v>
      </c>
      <c r="AK824">
        <v>11</v>
      </c>
      <c r="AL824" t="s">
        <v>110</v>
      </c>
      <c r="AM824" t="s">
        <v>111</v>
      </c>
      <c r="AN824" t="s">
        <v>112</v>
      </c>
      <c r="AO824" t="s">
        <v>783</v>
      </c>
      <c r="AP824" t="s">
        <v>784</v>
      </c>
      <c r="AQ824" t="s">
        <v>74</v>
      </c>
      <c r="AR824" t="s">
        <v>785</v>
      </c>
      <c r="AS824" t="s">
        <v>786</v>
      </c>
      <c r="AT824" t="s">
        <v>11509</v>
      </c>
      <c r="AU824">
        <v>2003</v>
      </c>
      <c r="AV824">
        <v>191</v>
      </c>
      <c r="AW824">
        <v>2</v>
      </c>
      <c r="AX824" t="s">
        <v>74</v>
      </c>
      <c r="AY824" t="s">
        <v>74</v>
      </c>
      <c r="AZ824" t="s">
        <v>74</v>
      </c>
      <c r="BA824" t="s">
        <v>74</v>
      </c>
      <c r="BB824">
        <v>191</v>
      </c>
      <c r="BC824">
        <v>202</v>
      </c>
      <c r="BD824" t="s">
        <v>74</v>
      </c>
      <c r="BE824" t="s">
        <v>11579</v>
      </c>
      <c r="BF824" t="str">
        <f>HYPERLINK("http://dx.doi.org/10.1016/S0031-0182(02)00712-5","http://dx.doi.org/10.1016/S0031-0182(02)00712-5")</f>
        <v>http://dx.doi.org/10.1016/S0031-0182(02)00712-5</v>
      </c>
      <c r="BG824" t="s">
        <v>74</v>
      </c>
      <c r="BH824" t="s">
        <v>74</v>
      </c>
      <c r="BI824">
        <v>12</v>
      </c>
      <c r="BJ824" t="s">
        <v>789</v>
      </c>
      <c r="BK824" t="s">
        <v>94</v>
      </c>
      <c r="BL824" t="s">
        <v>790</v>
      </c>
      <c r="BM824" t="s">
        <v>11580</v>
      </c>
      <c r="BN824" t="s">
        <v>74</v>
      </c>
      <c r="BO824" t="s">
        <v>1767</v>
      </c>
      <c r="BP824" t="s">
        <v>74</v>
      </c>
      <c r="BQ824" t="s">
        <v>74</v>
      </c>
      <c r="BR824" t="s">
        <v>97</v>
      </c>
      <c r="BS824" t="s">
        <v>11581</v>
      </c>
      <c r="BT824" t="str">
        <f>HYPERLINK("https%3A%2F%2Fwww.webofscience.com%2Fwos%2Fwoscc%2Ffull-record%2FWOS:000181378700005","View Full Record in Web of Science")</f>
        <v>View Full Record in Web of Science</v>
      </c>
    </row>
    <row r="825" spans="1:72" x14ac:dyDescent="0.15">
      <c r="A825" t="s">
        <v>72</v>
      </c>
      <c r="B825" t="s">
        <v>11582</v>
      </c>
      <c r="C825" t="s">
        <v>74</v>
      </c>
      <c r="D825" t="s">
        <v>74</v>
      </c>
      <c r="E825" t="s">
        <v>74</v>
      </c>
      <c r="F825" t="s">
        <v>11582</v>
      </c>
      <c r="G825" t="s">
        <v>74</v>
      </c>
      <c r="H825" t="s">
        <v>74</v>
      </c>
      <c r="I825" t="s">
        <v>11583</v>
      </c>
      <c r="J825" t="s">
        <v>2967</v>
      </c>
      <c r="K825" t="s">
        <v>74</v>
      </c>
      <c r="L825" t="s">
        <v>74</v>
      </c>
      <c r="M825" t="s">
        <v>77</v>
      </c>
      <c r="N825" t="s">
        <v>556</v>
      </c>
      <c r="O825" t="s">
        <v>74</v>
      </c>
      <c r="P825" t="s">
        <v>74</v>
      </c>
      <c r="Q825" t="s">
        <v>74</v>
      </c>
      <c r="R825" t="s">
        <v>74</v>
      </c>
      <c r="S825" t="s">
        <v>74</v>
      </c>
      <c r="T825" t="s">
        <v>11584</v>
      </c>
      <c r="U825" t="s">
        <v>11585</v>
      </c>
      <c r="V825" t="s">
        <v>11586</v>
      </c>
      <c r="W825" t="s">
        <v>11587</v>
      </c>
      <c r="X825" t="s">
        <v>9440</v>
      </c>
      <c r="Y825" t="s">
        <v>11588</v>
      </c>
      <c r="Z825" t="s">
        <v>11589</v>
      </c>
      <c r="AA825" t="s">
        <v>74</v>
      </c>
      <c r="AB825" t="s">
        <v>11590</v>
      </c>
      <c r="AC825" t="s">
        <v>74</v>
      </c>
      <c r="AD825" t="s">
        <v>74</v>
      </c>
      <c r="AE825" t="s">
        <v>74</v>
      </c>
      <c r="AF825" t="s">
        <v>74</v>
      </c>
      <c r="AG825">
        <v>57</v>
      </c>
      <c r="AH825">
        <v>85</v>
      </c>
      <c r="AI825">
        <v>103</v>
      </c>
      <c r="AJ825">
        <v>0</v>
      </c>
      <c r="AK825">
        <v>36</v>
      </c>
      <c r="AL825" t="s">
        <v>188</v>
      </c>
      <c r="AM825" t="s">
        <v>170</v>
      </c>
      <c r="AN825" t="s">
        <v>189</v>
      </c>
      <c r="AO825" t="s">
        <v>2976</v>
      </c>
      <c r="AP825" t="s">
        <v>11591</v>
      </c>
      <c r="AQ825" t="s">
        <v>74</v>
      </c>
      <c r="AR825" t="s">
        <v>2977</v>
      </c>
      <c r="AS825" t="s">
        <v>2978</v>
      </c>
      <c r="AT825" t="s">
        <v>11592</v>
      </c>
      <c r="AU825">
        <v>2003</v>
      </c>
      <c r="AV825">
        <v>219</v>
      </c>
      <c r="AW825">
        <v>1</v>
      </c>
      <c r="AX825" t="s">
        <v>74</v>
      </c>
      <c r="AY825" t="s">
        <v>74</v>
      </c>
      <c r="AZ825" t="s">
        <v>74</v>
      </c>
      <c r="BA825" t="s">
        <v>74</v>
      </c>
      <c r="BB825">
        <v>1</v>
      </c>
      <c r="BC825">
        <v>7</v>
      </c>
      <c r="BD825" t="s">
        <v>74</v>
      </c>
      <c r="BE825" t="s">
        <v>11593</v>
      </c>
      <c r="BF825" t="str">
        <f>HYPERLINK("http://dx.doi.org/10.1016/S0378-1097(02)01200-4","http://dx.doi.org/10.1016/S0378-1097(02)01200-4")</f>
        <v>http://dx.doi.org/10.1016/S0378-1097(02)01200-4</v>
      </c>
      <c r="BG825" t="s">
        <v>74</v>
      </c>
      <c r="BH825" t="s">
        <v>74</v>
      </c>
      <c r="BI825">
        <v>7</v>
      </c>
      <c r="BJ825" t="s">
        <v>1912</v>
      </c>
      <c r="BK825" t="s">
        <v>94</v>
      </c>
      <c r="BL825" t="s">
        <v>1912</v>
      </c>
      <c r="BM825" t="s">
        <v>11594</v>
      </c>
      <c r="BN825">
        <v>12594015</v>
      </c>
      <c r="BO825" t="s">
        <v>96</v>
      </c>
      <c r="BP825" t="s">
        <v>74</v>
      </c>
      <c r="BQ825" t="s">
        <v>74</v>
      </c>
      <c r="BR825" t="s">
        <v>97</v>
      </c>
      <c r="BS825" t="s">
        <v>11595</v>
      </c>
      <c r="BT825" t="str">
        <f>HYPERLINK("https%3A%2F%2Fwww.webofscience.com%2Fwos%2Fwoscc%2Ffull-record%2FWOS:000181306900001","View Full Record in Web of Science")</f>
        <v>View Full Record in Web of Science</v>
      </c>
    </row>
    <row r="826" spans="1:72" x14ac:dyDescent="0.15">
      <c r="A826" t="s">
        <v>72</v>
      </c>
      <c r="B826" t="s">
        <v>11596</v>
      </c>
      <c r="C826" t="s">
        <v>74</v>
      </c>
      <c r="D826" t="s">
        <v>74</v>
      </c>
      <c r="E826" t="s">
        <v>74</v>
      </c>
      <c r="F826" t="s">
        <v>11596</v>
      </c>
      <c r="G826" t="s">
        <v>74</v>
      </c>
      <c r="H826" t="s">
        <v>74</v>
      </c>
      <c r="I826" t="s">
        <v>11597</v>
      </c>
      <c r="J826" t="s">
        <v>530</v>
      </c>
      <c r="K826" t="s">
        <v>74</v>
      </c>
      <c r="L826" t="s">
        <v>74</v>
      </c>
      <c r="M826" t="s">
        <v>77</v>
      </c>
      <c r="N826" t="s">
        <v>78</v>
      </c>
      <c r="O826" t="s">
        <v>74</v>
      </c>
      <c r="P826" t="s">
        <v>74</v>
      </c>
      <c r="Q826" t="s">
        <v>74</v>
      </c>
      <c r="R826" t="s">
        <v>74</v>
      </c>
      <c r="S826" t="s">
        <v>74</v>
      </c>
      <c r="T826" t="s">
        <v>74</v>
      </c>
      <c r="U826" t="s">
        <v>11598</v>
      </c>
      <c r="V826" t="s">
        <v>11599</v>
      </c>
      <c r="W826" t="s">
        <v>11600</v>
      </c>
      <c r="X826" t="s">
        <v>11601</v>
      </c>
      <c r="Y826" t="s">
        <v>11602</v>
      </c>
      <c r="Z826" t="s">
        <v>74</v>
      </c>
      <c r="AA826" t="s">
        <v>11603</v>
      </c>
      <c r="AB826" t="s">
        <v>74</v>
      </c>
      <c r="AC826" t="s">
        <v>74</v>
      </c>
      <c r="AD826" t="s">
        <v>74</v>
      </c>
      <c r="AE826" t="s">
        <v>74</v>
      </c>
      <c r="AF826" t="s">
        <v>74</v>
      </c>
      <c r="AG826">
        <v>23</v>
      </c>
      <c r="AH826">
        <v>42</v>
      </c>
      <c r="AI826">
        <v>43</v>
      </c>
      <c r="AJ826">
        <v>0</v>
      </c>
      <c r="AK826">
        <v>5</v>
      </c>
      <c r="AL826" t="s">
        <v>539</v>
      </c>
      <c r="AM826" t="s">
        <v>540</v>
      </c>
      <c r="AN826" t="s">
        <v>541</v>
      </c>
      <c r="AO826" t="s">
        <v>542</v>
      </c>
      <c r="AP826" t="s">
        <v>74</v>
      </c>
      <c r="AQ826" t="s">
        <v>74</v>
      </c>
      <c r="AR826" t="s">
        <v>544</v>
      </c>
      <c r="AS826" t="s">
        <v>545</v>
      </c>
      <c r="AT826" t="s">
        <v>11604</v>
      </c>
      <c r="AU826">
        <v>2003</v>
      </c>
      <c r="AV826">
        <v>30</v>
      </c>
      <c r="AW826">
        <v>3</v>
      </c>
      <c r="AX826" t="s">
        <v>74</v>
      </c>
      <c r="AY826" t="s">
        <v>74</v>
      </c>
      <c r="AZ826" t="s">
        <v>74</v>
      </c>
      <c r="BA826" t="s">
        <v>74</v>
      </c>
      <c r="BB826" t="s">
        <v>74</v>
      </c>
      <c r="BC826" t="s">
        <v>74</v>
      </c>
      <c r="BD826">
        <v>1135</v>
      </c>
      <c r="BE826" t="s">
        <v>11605</v>
      </c>
      <c r="BF826" t="str">
        <f>HYPERLINK("http://dx.doi.org/10.1029/2002GL016549","http://dx.doi.org/10.1029/2002GL016549")</f>
        <v>http://dx.doi.org/10.1029/2002GL016549</v>
      </c>
      <c r="BG826" t="s">
        <v>74</v>
      </c>
      <c r="BH826" t="s">
        <v>74</v>
      </c>
      <c r="BI826">
        <v>4</v>
      </c>
      <c r="BJ826" t="s">
        <v>548</v>
      </c>
      <c r="BK826" t="s">
        <v>94</v>
      </c>
      <c r="BL826" t="s">
        <v>549</v>
      </c>
      <c r="BM826" t="s">
        <v>11606</v>
      </c>
      <c r="BN826" t="s">
        <v>74</v>
      </c>
      <c r="BO826" t="s">
        <v>74</v>
      </c>
      <c r="BP826" t="s">
        <v>74</v>
      </c>
      <c r="BQ826" t="s">
        <v>74</v>
      </c>
      <c r="BR826" t="s">
        <v>97</v>
      </c>
      <c r="BS826" t="s">
        <v>11607</v>
      </c>
      <c r="BT826" t="str">
        <f>HYPERLINK("https%3A%2F%2Fwww.webofscience.com%2Fwos%2Fwoscc%2Ffull-record%2FWOS:000181935000006","View Full Record in Web of Science")</f>
        <v>View Full Record in Web of Science</v>
      </c>
    </row>
    <row r="827" spans="1:72" x14ac:dyDescent="0.15">
      <c r="A827" t="s">
        <v>72</v>
      </c>
      <c r="B827" t="s">
        <v>11608</v>
      </c>
      <c r="C827" t="s">
        <v>74</v>
      </c>
      <c r="D827" t="s">
        <v>74</v>
      </c>
      <c r="E827" t="s">
        <v>74</v>
      </c>
      <c r="F827" t="s">
        <v>11608</v>
      </c>
      <c r="G827" t="s">
        <v>74</v>
      </c>
      <c r="H827" t="s">
        <v>74</v>
      </c>
      <c r="I827" t="s">
        <v>11609</v>
      </c>
      <c r="J827" t="s">
        <v>530</v>
      </c>
      <c r="K827" t="s">
        <v>74</v>
      </c>
      <c r="L827" t="s">
        <v>74</v>
      </c>
      <c r="M827" t="s">
        <v>77</v>
      </c>
      <c r="N827" t="s">
        <v>78</v>
      </c>
      <c r="O827" t="s">
        <v>74</v>
      </c>
      <c r="P827" t="s">
        <v>74</v>
      </c>
      <c r="Q827" t="s">
        <v>74</v>
      </c>
      <c r="R827" t="s">
        <v>74</v>
      </c>
      <c r="S827" t="s">
        <v>74</v>
      </c>
      <c r="T827" t="s">
        <v>74</v>
      </c>
      <c r="U827" t="s">
        <v>11610</v>
      </c>
      <c r="V827" t="s">
        <v>11611</v>
      </c>
      <c r="W827" t="s">
        <v>11612</v>
      </c>
      <c r="X827" t="s">
        <v>11613</v>
      </c>
      <c r="Y827" t="s">
        <v>11614</v>
      </c>
      <c r="Z827" t="s">
        <v>11615</v>
      </c>
      <c r="AA827" t="s">
        <v>11616</v>
      </c>
      <c r="AB827" t="s">
        <v>11617</v>
      </c>
      <c r="AC827" t="s">
        <v>74</v>
      </c>
      <c r="AD827" t="s">
        <v>74</v>
      </c>
      <c r="AE827" t="s">
        <v>74</v>
      </c>
      <c r="AF827" t="s">
        <v>74</v>
      </c>
      <c r="AG827">
        <v>15</v>
      </c>
      <c r="AH827">
        <v>49</v>
      </c>
      <c r="AI827">
        <v>55</v>
      </c>
      <c r="AJ827">
        <v>0</v>
      </c>
      <c r="AK827">
        <v>8</v>
      </c>
      <c r="AL827" t="s">
        <v>539</v>
      </c>
      <c r="AM827" t="s">
        <v>540</v>
      </c>
      <c r="AN827" t="s">
        <v>541</v>
      </c>
      <c r="AO827" t="s">
        <v>542</v>
      </c>
      <c r="AP827" t="s">
        <v>543</v>
      </c>
      <c r="AQ827" t="s">
        <v>74</v>
      </c>
      <c r="AR827" t="s">
        <v>544</v>
      </c>
      <c r="AS827" t="s">
        <v>545</v>
      </c>
      <c r="AT827" t="s">
        <v>11604</v>
      </c>
      <c r="AU827">
        <v>2003</v>
      </c>
      <c r="AV827">
        <v>30</v>
      </c>
      <c r="AW827">
        <v>3</v>
      </c>
      <c r="AX827" t="s">
        <v>74</v>
      </c>
      <c r="AY827" t="s">
        <v>74</v>
      </c>
      <c r="AZ827" t="s">
        <v>74</v>
      </c>
      <c r="BA827" t="s">
        <v>74</v>
      </c>
      <c r="BB827" t="s">
        <v>74</v>
      </c>
      <c r="BC827" t="s">
        <v>74</v>
      </c>
      <c r="BD827">
        <v>1138</v>
      </c>
      <c r="BE827" t="s">
        <v>11618</v>
      </c>
      <c r="BF827" t="str">
        <f>HYPERLINK("http://dx.doi.org/10.1029/2002GL016182","http://dx.doi.org/10.1029/2002GL016182")</f>
        <v>http://dx.doi.org/10.1029/2002GL016182</v>
      </c>
      <c r="BG827" t="s">
        <v>74</v>
      </c>
      <c r="BH827" t="s">
        <v>74</v>
      </c>
      <c r="BI827">
        <v>4</v>
      </c>
      <c r="BJ827" t="s">
        <v>548</v>
      </c>
      <c r="BK827" t="s">
        <v>94</v>
      </c>
      <c r="BL827" t="s">
        <v>549</v>
      </c>
      <c r="BM827" t="s">
        <v>11606</v>
      </c>
      <c r="BN827" t="s">
        <v>74</v>
      </c>
      <c r="BO827" t="s">
        <v>96</v>
      </c>
      <c r="BP827" t="s">
        <v>74</v>
      </c>
      <c r="BQ827" t="s">
        <v>74</v>
      </c>
      <c r="BR827" t="s">
        <v>97</v>
      </c>
      <c r="BS827" t="s">
        <v>11619</v>
      </c>
      <c r="BT827" t="str">
        <f>HYPERLINK("https%3A%2F%2Fwww.webofscience.com%2Fwos%2Fwoscc%2Ffull-record%2FWOS:000181935000004","View Full Record in Web of Science")</f>
        <v>View Full Record in Web of Science</v>
      </c>
    </row>
    <row r="828" spans="1:72" x14ac:dyDescent="0.15">
      <c r="A828" t="s">
        <v>72</v>
      </c>
      <c r="B828" t="s">
        <v>11620</v>
      </c>
      <c r="C828" t="s">
        <v>74</v>
      </c>
      <c r="D828" t="s">
        <v>74</v>
      </c>
      <c r="E828" t="s">
        <v>74</v>
      </c>
      <c r="F828" t="s">
        <v>11620</v>
      </c>
      <c r="G828" t="s">
        <v>74</v>
      </c>
      <c r="H828" t="s">
        <v>74</v>
      </c>
      <c r="I828" t="s">
        <v>11621</v>
      </c>
      <c r="J828" t="s">
        <v>2922</v>
      </c>
      <c r="K828" t="s">
        <v>74</v>
      </c>
      <c r="L828" t="s">
        <v>74</v>
      </c>
      <c r="M828" t="s">
        <v>77</v>
      </c>
      <c r="N828" t="s">
        <v>159</v>
      </c>
      <c r="O828" t="s">
        <v>11622</v>
      </c>
      <c r="P828" t="s">
        <v>11623</v>
      </c>
      <c r="Q828" t="s">
        <v>11624</v>
      </c>
      <c r="R828" t="s">
        <v>74</v>
      </c>
      <c r="S828" t="s">
        <v>11625</v>
      </c>
      <c r="T828" t="s">
        <v>11626</v>
      </c>
      <c r="U828" t="s">
        <v>11627</v>
      </c>
      <c r="V828" t="s">
        <v>11628</v>
      </c>
      <c r="W828" t="s">
        <v>11629</v>
      </c>
      <c r="X828" t="s">
        <v>11630</v>
      </c>
      <c r="Y828" t="s">
        <v>11631</v>
      </c>
      <c r="Z828" t="s">
        <v>11632</v>
      </c>
      <c r="AA828" t="s">
        <v>11633</v>
      </c>
      <c r="AB828" t="s">
        <v>11634</v>
      </c>
      <c r="AC828" t="s">
        <v>74</v>
      </c>
      <c r="AD828" t="s">
        <v>74</v>
      </c>
      <c r="AE828" t="s">
        <v>74</v>
      </c>
      <c r="AF828" t="s">
        <v>74</v>
      </c>
      <c r="AG828">
        <v>64</v>
      </c>
      <c r="AH828">
        <v>28</v>
      </c>
      <c r="AI828">
        <v>39</v>
      </c>
      <c r="AJ828">
        <v>0</v>
      </c>
      <c r="AK828">
        <v>11</v>
      </c>
      <c r="AL828" t="s">
        <v>781</v>
      </c>
      <c r="AM828" t="s">
        <v>111</v>
      </c>
      <c r="AN828" t="s">
        <v>782</v>
      </c>
      <c r="AO828" t="s">
        <v>2931</v>
      </c>
      <c r="AP828" t="s">
        <v>2932</v>
      </c>
      <c r="AQ828" t="s">
        <v>74</v>
      </c>
      <c r="AR828" t="s">
        <v>2933</v>
      </c>
      <c r="AS828" t="s">
        <v>2934</v>
      </c>
      <c r="AT828" t="s">
        <v>11635</v>
      </c>
      <c r="AU828">
        <v>2003</v>
      </c>
      <c r="AV828">
        <v>285</v>
      </c>
      <c r="AW828" t="s">
        <v>74</v>
      </c>
      <c r="AX828" t="s">
        <v>74</v>
      </c>
      <c r="AY828" t="s">
        <v>74</v>
      </c>
      <c r="AZ828" t="s">
        <v>74</v>
      </c>
      <c r="BA828" t="s">
        <v>74</v>
      </c>
      <c r="BB828">
        <v>295</v>
      </c>
      <c r="BC828">
        <v>311</v>
      </c>
      <c r="BD828" t="s">
        <v>11636</v>
      </c>
      <c r="BE828" t="s">
        <v>11637</v>
      </c>
      <c r="BF828" t="str">
        <f>HYPERLINK("http://dx.doi.org/10.1016/S0022-0981(02)00534-8","http://dx.doi.org/10.1016/S0022-0981(02)00534-8")</f>
        <v>http://dx.doi.org/10.1016/S0022-0981(02)00534-8</v>
      </c>
      <c r="BG828" t="s">
        <v>74</v>
      </c>
      <c r="BH828" t="s">
        <v>74</v>
      </c>
      <c r="BI828">
        <v>17</v>
      </c>
      <c r="BJ828" t="s">
        <v>485</v>
      </c>
      <c r="BK828" t="s">
        <v>177</v>
      </c>
      <c r="BL828" t="s">
        <v>486</v>
      </c>
      <c r="BM828" t="s">
        <v>11638</v>
      </c>
      <c r="BN828" t="s">
        <v>74</v>
      </c>
      <c r="BO828" t="s">
        <v>974</v>
      </c>
      <c r="BP828" t="s">
        <v>74</v>
      </c>
      <c r="BQ828" t="s">
        <v>74</v>
      </c>
      <c r="BR828" t="s">
        <v>97</v>
      </c>
      <c r="BS828" t="s">
        <v>11639</v>
      </c>
      <c r="BT828" t="str">
        <f>HYPERLINK("https%3A%2F%2Fwww.webofscience.com%2Fwos%2Fwoscc%2Ffull-record%2FWOS:000181026600019","View Full Record in Web of Science")</f>
        <v>View Full Record in Web of Science</v>
      </c>
    </row>
    <row r="829" spans="1:72" x14ac:dyDescent="0.15">
      <c r="A829" t="s">
        <v>72</v>
      </c>
      <c r="B829" t="s">
        <v>11640</v>
      </c>
      <c r="C829" t="s">
        <v>74</v>
      </c>
      <c r="D829" t="s">
        <v>74</v>
      </c>
      <c r="E829" t="s">
        <v>74</v>
      </c>
      <c r="F829" t="s">
        <v>11640</v>
      </c>
      <c r="G829" t="s">
        <v>74</v>
      </c>
      <c r="H829" t="s">
        <v>74</v>
      </c>
      <c r="I829" t="s">
        <v>11641</v>
      </c>
      <c r="J829" t="s">
        <v>578</v>
      </c>
      <c r="K829" t="s">
        <v>74</v>
      </c>
      <c r="L829" t="s">
        <v>74</v>
      </c>
      <c r="M829" t="s">
        <v>77</v>
      </c>
      <c r="N829" t="s">
        <v>78</v>
      </c>
      <c r="O829" t="s">
        <v>74</v>
      </c>
      <c r="P829" t="s">
        <v>74</v>
      </c>
      <c r="Q829" t="s">
        <v>74</v>
      </c>
      <c r="R829" t="s">
        <v>74</v>
      </c>
      <c r="S829" t="s">
        <v>74</v>
      </c>
      <c r="T829" t="s">
        <v>11642</v>
      </c>
      <c r="U829" t="s">
        <v>11643</v>
      </c>
      <c r="V829" t="s">
        <v>11644</v>
      </c>
      <c r="W829" t="s">
        <v>11645</v>
      </c>
      <c r="X829" t="s">
        <v>11646</v>
      </c>
      <c r="Y829" t="s">
        <v>11647</v>
      </c>
      <c r="Z829" t="s">
        <v>11648</v>
      </c>
      <c r="AA829" t="s">
        <v>11649</v>
      </c>
      <c r="AB829" t="s">
        <v>11650</v>
      </c>
      <c r="AC829" t="s">
        <v>74</v>
      </c>
      <c r="AD829" t="s">
        <v>74</v>
      </c>
      <c r="AE829" t="s">
        <v>74</v>
      </c>
      <c r="AF829" t="s">
        <v>74</v>
      </c>
      <c r="AG829">
        <v>38</v>
      </c>
      <c r="AH829">
        <v>43</v>
      </c>
      <c r="AI829">
        <v>46</v>
      </c>
      <c r="AJ829">
        <v>0</v>
      </c>
      <c r="AK829">
        <v>9</v>
      </c>
      <c r="AL829" t="s">
        <v>539</v>
      </c>
      <c r="AM829" t="s">
        <v>540</v>
      </c>
      <c r="AN829" t="s">
        <v>541</v>
      </c>
      <c r="AO829" t="s">
        <v>588</v>
      </c>
      <c r="AP829" t="s">
        <v>74</v>
      </c>
      <c r="AQ829" t="s">
        <v>74</v>
      </c>
      <c r="AR829" t="s">
        <v>589</v>
      </c>
      <c r="AS829" t="s">
        <v>590</v>
      </c>
      <c r="AT829" t="s">
        <v>11635</v>
      </c>
      <c r="AU829">
        <v>2003</v>
      </c>
      <c r="AV829">
        <v>108</v>
      </c>
      <c r="AW829" t="s">
        <v>11651</v>
      </c>
      <c r="AX829" t="s">
        <v>74</v>
      </c>
      <c r="AY829" t="s">
        <v>74</v>
      </c>
      <c r="AZ829" t="s">
        <v>74</v>
      </c>
      <c r="BA829" t="s">
        <v>74</v>
      </c>
      <c r="BB829" t="s">
        <v>74</v>
      </c>
      <c r="BC829" t="s">
        <v>74</v>
      </c>
      <c r="BD829">
        <v>4126</v>
      </c>
      <c r="BE829" t="s">
        <v>11652</v>
      </c>
      <c r="BF829" t="str">
        <f>HYPERLINK("http://dx.doi.org/10.1029/2002JD002538","http://dx.doi.org/10.1029/2002JD002538")</f>
        <v>http://dx.doi.org/10.1029/2002JD002538</v>
      </c>
      <c r="BG829" t="s">
        <v>74</v>
      </c>
      <c r="BH829" t="s">
        <v>74</v>
      </c>
      <c r="BI829">
        <v>14</v>
      </c>
      <c r="BJ829" t="s">
        <v>93</v>
      </c>
      <c r="BK829" t="s">
        <v>94</v>
      </c>
      <c r="BL829" t="s">
        <v>93</v>
      </c>
      <c r="BM829" t="s">
        <v>11653</v>
      </c>
      <c r="BN829" t="s">
        <v>74</v>
      </c>
      <c r="BO829" t="s">
        <v>74</v>
      </c>
      <c r="BP829" t="s">
        <v>74</v>
      </c>
      <c r="BQ829" t="s">
        <v>74</v>
      </c>
      <c r="BR829" t="s">
        <v>97</v>
      </c>
      <c r="BS829" t="s">
        <v>11654</v>
      </c>
      <c r="BT829" t="str">
        <f>HYPERLINK("https%3A%2F%2Fwww.webofscience.com%2Fwos%2Fwoscc%2Ffull-record%2FWOS:000181936000006","View Full Record in Web of Science")</f>
        <v>View Full Record in Web of Science</v>
      </c>
    </row>
    <row r="830" spans="1:72" x14ac:dyDescent="0.15">
      <c r="A830" t="s">
        <v>72</v>
      </c>
      <c r="B830" t="s">
        <v>11655</v>
      </c>
      <c r="C830" t="s">
        <v>74</v>
      </c>
      <c r="D830" t="s">
        <v>74</v>
      </c>
      <c r="E830" t="s">
        <v>74</v>
      </c>
      <c r="F830" t="s">
        <v>11655</v>
      </c>
      <c r="G830" t="s">
        <v>74</v>
      </c>
      <c r="H830" t="s">
        <v>74</v>
      </c>
      <c r="I830" t="s">
        <v>11656</v>
      </c>
      <c r="J830" t="s">
        <v>613</v>
      </c>
      <c r="K830" t="s">
        <v>74</v>
      </c>
      <c r="L830" t="s">
        <v>74</v>
      </c>
      <c r="M830" t="s">
        <v>77</v>
      </c>
      <c r="N830" t="s">
        <v>78</v>
      </c>
      <c r="O830" t="s">
        <v>74</v>
      </c>
      <c r="P830" t="s">
        <v>74</v>
      </c>
      <c r="Q830" t="s">
        <v>74</v>
      </c>
      <c r="R830" t="s">
        <v>74</v>
      </c>
      <c r="S830" t="s">
        <v>74</v>
      </c>
      <c r="T830" t="s">
        <v>11657</v>
      </c>
      <c r="U830" t="s">
        <v>11658</v>
      </c>
      <c r="V830" t="s">
        <v>11659</v>
      </c>
      <c r="W830" t="s">
        <v>11660</v>
      </c>
      <c r="X830" t="s">
        <v>11661</v>
      </c>
      <c r="Y830" t="s">
        <v>11662</v>
      </c>
      <c r="Z830" t="s">
        <v>11663</v>
      </c>
      <c r="AA830" t="s">
        <v>11664</v>
      </c>
      <c r="AB830" t="s">
        <v>11665</v>
      </c>
      <c r="AC830" t="s">
        <v>74</v>
      </c>
      <c r="AD830" t="s">
        <v>74</v>
      </c>
      <c r="AE830" t="s">
        <v>74</v>
      </c>
      <c r="AF830" t="s">
        <v>74</v>
      </c>
      <c r="AG830">
        <v>59</v>
      </c>
      <c r="AH830">
        <v>99</v>
      </c>
      <c r="AI830">
        <v>112</v>
      </c>
      <c r="AJ830">
        <v>0</v>
      </c>
      <c r="AK830">
        <v>35</v>
      </c>
      <c r="AL830" t="s">
        <v>539</v>
      </c>
      <c r="AM830" t="s">
        <v>540</v>
      </c>
      <c r="AN830" t="s">
        <v>541</v>
      </c>
      <c r="AO830" t="s">
        <v>621</v>
      </c>
      <c r="AP830" t="s">
        <v>622</v>
      </c>
      <c r="AQ830" t="s">
        <v>74</v>
      </c>
      <c r="AR830" t="s">
        <v>613</v>
      </c>
      <c r="AS830" t="s">
        <v>623</v>
      </c>
      <c r="AT830" t="s">
        <v>11666</v>
      </c>
      <c r="AU830">
        <v>2003</v>
      </c>
      <c r="AV830">
        <v>18</v>
      </c>
      <c r="AW830">
        <v>1</v>
      </c>
      <c r="AX830" t="s">
        <v>74</v>
      </c>
      <c r="AY830" t="s">
        <v>74</v>
      </c>
      <c r="AZ830" t="s">
        <v>74</v>
      </c>
      <c r="BA830" t="s">
        <v>74</v>
      </c>
      <c r="BB830" t="s">
        <v>74</v>
      </c>
      <c r="BC830" t="s">
        <v>74</v>
      </c>
      <c r="BD830">
        <v>1006</v>
      </c>
      <c r="BE830" t="s">
        <v>11667</v>
      </c>
      <c r="BF830" t="str">
        <f>HYPERLINK("http://dx.doi.org/10.1029/2002PA000767","http://dx.doi.org/10.1029/2002PA000767")</f>
        <v>http://dx.doi.org/10.1029/2002PA000767</v>
      </c>
      <c r="BG830" t="s">
        <v>74</v>
      </c>
      <c r="BH830" t="s">
        <v>74</v>
      </c>
      <c r="BI830">
        <v>12</v>
      </c>
      <c r="BJ830" t="s">
        <v>625</v>
      </c>
      <c r="BK830" t="s">
        <v>94</v>
      </c>
      <c r="BL830" t="s">
        <v>626</v>
      </c>
      <c r="BM830" t="s">
        <v>11668</v>
      </c>
      <c r="BN830" t="s">
        <v>74</v>
      </c>
      <c r="BO830" t="s">
        <v>96</v>
      </c>
      <c r="BP830" t="s">
        <v>74</v>
      </c>
      <c r="BQ830" t="s">
        <v>74</v>
      </c>
      <c r="BR830" t="s">
        <v>97</v>
      </c>
      <c r="BS830" t="s">
        <v>11669</v>
      </c>
      <c r="BT830" t="str">
        <f>HYPERLINK("https%3A%2F%2Fwww.webofscience.com%2Fwos%2Fwoscc%2Ffull-record%2FWOS:000181962600002","View Full Record in Web of Science")</f>
        <v>View Full Record in Web of Science</v>
      </c>
    </row>
    <row r="831" spans="1:72" x14ac:dyDescent="0.15">
      <c r="A831" t="s">
        <v>72</v>
      </c>
      <c r="B831" t="s">
        <v>4428</v>
      </c>
      <c r="C831" t="s">
        <v>74</v>
      </c>
      <c r="D831" t="s">
        <v>74</v>
      </c>
      <c r="E831" t="s">
        <v>74</v>
      </c>
      <c r="F831" t="s">
        <v>4428</v>
      </c>
      <c r="G831" t="s">
        <v>74</v>
      </c>
      <c r="H831" t="s">
        <v>74</v>
      </c>
      <c r="I831" t="s">
        <v>11670</v>
      </c>
      <c r="J831" t="s">
        <v>4127</v>
      </c>
      <c r="K831" t="s">
        <v>74</v>
      </c>
      <c r="L831" t="s">
        <v>74</v>
      </c>
      <c r="M831" t="s">
        <v>77</v>
      </c>
      <c r="N831" t="s">
        <v>78</v>
      </c>
      <c r="O831" t="s">
        <v>74</v>
      </c>
      <c r="P831" t="s">
        <v>74</v>
      </c>
      <c r="Q831" t="s">
        <v>74</v>
      </c>
      <c r="R831" t="s">
        <v>74</v>
      </c>
      <c r="S831" t="s">
        <v>74</v>
      </c>
      <c r="T831" t="s">
        <v>11671</v>
      </c>
      <c r="U831" t="s">
        <v>11672</v>
      </c>
      <c r="V831" t="s">
        <v>11673</v>
      </c>
      <c r="W831" t="s">
        <v>4434</v>
      </c>
      <c r="X831" t="s">
        <v>4435</v>
      </c>
      <c r="Y831" t="s">
        <v>4436</v>
      </c>
      <c r="Z831" t="s">
        <v>4437</v>
      </c>
      <c r="AA831" t="s">
        <v>11674</v>
      </c>
      <c r="AB831" t="s">
        <v>4439</v>
      </c>
      <c r="AC831" t="s">
        <v>74</v>
      </c>
      <c r="AD831" t="s">
        <v>74</v>
      </c>
      <c r="AE831" t="s">
        <v>74</v>
      </c>
      <c r="AF831" t="s">
        <v>74</v>
      </c>
      <c r="AG831">
        <v>18</v>
      </c>
      <c r="AH831">
        <v>38</v>
      </c>
      <c r="AI831">
        <v>39</v>
      </c>
      <c r="AJ831">
        <v>0</v>
      </c>
      <c r="AK831">
        <v>11</v>
      </c>
      <c r="AL831" t="s">
        <v>169</v>
      </c>
      <c r="AM831" t="s">
        <v>170</v>
      </c>
      <c r="AN831" t="s">
        <v>171</v>
      </c>
      <c r="AO831" t="s">
        <v>4136</v>
      </c>
      <c r="AP831" t="s">
        <v>74</v>
      </c>
      <c r="AQ831" t="s">
        <v>74</v>
      </c>
      <c r="AR831" t="s">
        <v>4137</v>
      </c>
      <c r="AS831" t="s">
        <v>4138</v>
      </c>
      <c r="AT831" t="s">
        <v>11675</v>
      </c>
      <c r="AU831">
        <v>2003</v>
      </c>
      <c r="AV831">
        <v>44</v>
      </c>
      <c r="AW831">
        <v>7</v>
      </c>
      <c r="AX831" t="s">
        <v>74</v>
      </c>
      <c r="AY831" t="s">
        <v>74</v>
      </c>
      <c r="AZ831" t="s">
        <v>74</v>
      </c>
      <c r="BA831" t="s">
        <v>74</v>
      </c>
      <c r="BB831">
        <v>1495</v>
      </c>
      <c r="BC831">
        <v>1498</v>
      </c>
      <c r="BD831" t="s">
        <v>11676</v>
      </c>
      <c r="BE831" t="s">
        <v>11677</v>
      </c>
      <c r="BF831" t="str">
        <f>HYPERLINK("http://dx.doi.org/10.1016/S0040-4039(02)02849-6","http://dx.doi.org/10.1016/S0040-4039(02)02849-6")</f>
        <v>http://dx.doi.org/10.1016/S0040-4039(02)02849-6</v>
      </c>
      <c r="BG831" t="s">
        <v>74</v>
      </c>
      <c r="BH831" t="s">
        <v>74</v>
      </c>
      <c r="BI831">
        <v>4</v>
      </c>
      <c r="BJ831" t="s">
        <v>4141</v>
      </c>
      <c r="BK831" t="s">
        <v>3339</v>
      </c>
      <c r="BL831" t="s">
        <v>4142</v>
      </c>
      <c r="BM831" t="s">
        <v>11678</v>
      </c>
      <c r="BN831" t="s">
        <v>74</v>
      </c>
      <c r="BO831" t="s">
        <v>74</v>
      </c>
      <c r="BP831" t="s">
        <v>74</v>
      </c>
      <c r="BQ831" t="s">
        <v>74</v>
      </c>
      <c r="BR831" t="s">
        <v>97</v>
      </c>
      <c r="BS831" t="s">
        <v>11679</v>
      </c>
      <c r="BT831" t="str">
        <f>HYPERLINK("https%3A%2F%2Fwww.webofscience.com%2Fwos%2Fwoscc%2Ffull-record%2FWOS:000180882000040","View Full Record in Web of Science")</f>
        <v>View Full Record in Web of Science</v>
      </c>
    </row>
    <row r="832" spans="1:72" x14ac:dyDescent="0.15">
      <c r="A832" t="s">
        <v>72</v>
      </c>
      <c r="B832" t="s">
        <v>11680</v>
      </c>
      <c r="C832" t="s">
        <v>74</v>
      </c>
      <c r="D832" t="s">
        <v>74</v>
      </c>
      <c r="E832" t="s">
        <v>74</v>
      </c>
      <c r="F832" t="s">
        <v>11680</v>
      </c>
      <c r="G832" t="s">
        <v>74</v>
      </c>
      <c r="H832" t="s">
        <v>74</v>
      </c>
      <c r="I832" t="s">
        <v>11681</v>
      </c>
      <c r="J832" t="s">
        <v>530</v>
      </c>
      <c r="K832" t="s">
        <v>74</v>
      </c>
      <c r="L832" t="s">
        <v>74</v>
      </c>
      <c r="M832" t="s">
        <v>77</v>
      </c>
      <c r="N832" t="s">
        <v>78</v>
      </c>
      <c r="O832" t="s">
        <v>74</v>
      </c>
      <c r="P832" t="s">
        <v>74</v>
      </c>
      <c r="Q832" t="s">
        <v>74</v>
      </c>
      <c r="R832" t="s">
        <v>74</v>
      </c>
      <c r="S832" t="s">
        <v>74</v>
      </c>
      <c r="T832" t="s">
        <v>74</v>
      </c>
      <c r="U832" t="s">
        <v>11682</v>
      </c>
      <c r="V832" t="s">
        <v>11683</v>
      </c>
      <c r="W832" t="s">
        <v>11684</v>
      </c>
      <c r="X832" t="s">
        <v>11685</v>
      </c>
      <c r="Y832" t="s">
        <v>11686</v>
      </c>
      <c r="Z832" t="s">
        <v>74</v>
      </c>
      <c r="AA832" t="s">
        <v>11687</v>
      </c>
      <c r="AB832" t="s">
        <v>11688</v>
      </c>
      <c r="AC832" t="s">
        <v>74</v>
      </c>
      <c r="AD832" t="s">
        <v>74</v>
      </c>
      <c r="AE832" t="s">
        <v>74</v>
      </c>
      <c r="AF832" t="s">
        <v>74</v>
      </c>
      <c r="AG832">
        <v>22</v>
      </c>
      <c r="AH832">
        <v>20</v>
      </c>
      <c r="AI832">
        <v>20</v>
      </c>
      <c r="AJ832">
        <v>0</v>
      </c>
      <c r="AK832">
        <v>2</v>
      </c>
      <c r="AL832" t="s">
        <v>539</v>
      </c>
      <c r="AM832" t="s">
        <v>540</v>
      </c>
      <c r="AN832" t="s">
        <v>541</v>
      </c>
      <c r="AO832" t="s">
        <v>542</v>
      </c>
      <c r="AP832" t="s">
        <v>74</v>
      </c>
      <c r="AQ832" t="s">
        <v>74</v>
      </c>
      <c r="AR832" t="s">
        <v>544</v>
      </c>
      <c r="AS832" t="s">
        <v>545</v>
      </c>
      <c r="AT832" t="s">
        <v>11689</v>
      </c>
      <c r="AU832">
        <v>2003</v>
      </c>
      <c r="AV832">
        <v>30</v>
      </c>
      <c r="AW832">
        <v>3</v>
      </c>
      <c r="AX832" t="s">
        <v>74</v>
      </c>
      <c r="AY832" t="s">
        <v>74</v>
      </c>
      <c r="AZ832" t="s">
        <v>74</v>
      </c>
      <c r="BA832" t="s">
        <v>74</v>
      </c>
      <c r="BB832" t="s">
        <v>74</v>
      </c>
      <c r="BC832" t="s">
        <v>74</v>
      </c>
      <c r="BD832">
        <v>1127</v>
      </c>
      <c r="BE832" t="s">
        <v>11690</v>
      </c>
      <c r="BF832" t="str">
        <f>HYPERLINK("http://dx.doi.org/10.1029/2002GL016070","http://dx.doi.org/10.1029/2002GL016070")</f>
        <v>http://dx.doi.org/10.1029/2002GL016070</v>
      </c>
      <c r="BG832" t="s">
        <v>74</v>
      </c>
      <c r="BH832" t="s">
        <v>74</v>
      </c>
      <c r="BI832">
        <v>4</v>
      </c>
      <c r="BJ832" t="s">
        <v>548</v>
      </c>
      <c r="BK832" t="s">
        <v>94</v>
      </c>
      <c r="BL832" t="s">
        <v>549</v>
      </c>
      <c r="BM832" t="s">
        <v>11691</v>
      </c>
      <c r="BN832" t="s">
        <v>74</v>
      </c>
      <c r="BO832" t="s">
        <v>96</v>
      </c>
      <c r="BP832" t="s">
        <v>74</v>
      </c>
      <c r="BQ832" t="s">
        <v>74</v>
      </c>
      <c r="BR832" t="s">
        <v>97</v>
      </c>
      <c r="BS832" t="s">
        <v>11692</v>
      </c>
      <c r="BT832" t="str">
        <f>HYPERLINK("https%3A%2F%2Fwww.webofscience.com%2Fwos%2Fwoscc%2Ffull-record%2FWOS:000181887900001","View Full Record in Web of Science")</f>
        <v>View Full Record in Web of Science</v>
      </c>
    </row>
    <row r="833" spans="1:72" x14ac:dyDescent="0.15">
      <c r="A833" t="s">
        <v>72</v>
      </c>
      <c r="B833" t="s">
        <v>11693</v>
      </c>
      <c r="C833" t="s">
        <v>74</v>
      </c>
      <c r="D833" t="s">
        <v>74</v>
      </c>
      <c r="E833" t="s">
        <v>74</v>
      </c>
      <c r="F833" t="s">
        <v>11693</v>
      </c>
      <c r="G833" t="s">
        <v>74</v>
      </c>
      <c r="H833" t="s">
        <v>74</v>
      </c>
      <c r="I833" t="s">
        <v>11694</v>
      </c>
      <c r="J833" t="s">
        <v>578</v>
      </c>
      <c r="K833" t="s">
        <v>74</v>
      </c>
      <c r="L833" t="s">
        <v>74</v>
      </c>
      <c r="M833" t="s">
        <v>77</v>
      </c>
      <c r="N833" t="s">
        <v>78</v>
      </c>
      <c r="O833" t="s">
        <v>74</v>
      </c>
      <c r="P833" t="s">
        <v>74</v>
      </c>
      <c r="Q833" t="s">
        <v>74</v>
      </c>
      <c r="R833" t="s">
        <v>74</v>
      </c>
      <c r="S833" t="s">
        <v>74</v>
      </c>
      <c r="T833" t="s">
        <v>11695</v>
      </c>
      <c r="U833" t="s">
        <v>11696</v>
      </c>
      <c r="V833" t="s">
        <v>11697</v>
      </c>
      <c r="W833" t="s">
        <v>11698</v>
      </c>
      <c r="X833" t="s">
        <v>11699</v>
      </c>
      <c r="Y833" t="s">
        <v>11700</v>
      </c>
      <c r="Z833" t="s">
        <v>11701</v>
      </c>
      <c r="AA833" t="s">
        <v>11702</v>
      </c>
      <c r="AB833" t="s">
        <v>11703</v>
      </c>
      <c r="AC833" t="s">
        <v>74</v>
      </c>
      <c r="AD833" t="s">
        <v>74</v>
      </c>
      <c r="AE833" t="s">
        <v>74</v>
      </c>
      <c r="AF833" t="s">
        <v>74</v>
      </c>
      <c r="AG833">
        <v>77</v>
      </c>
      <c r="AH833">
        <v>17</v>
      </c>
      <c r="AI833">
        <v>18</v>
      </c>
      <c r="AJ833">
        <v>0</v>
      </c>
      <c r="AK833">
        <v>2</v>
      </c>
      <c r="AL833" t="s">
        <v>539</v>
      </c>
      <c r="AM833" t="s">
        <v>540</v>
      </c>
      <c r="AN833" t="s">
        <v>541</v>
      </c>
      <c r="AO833" t="s">
        <v>588</v>
      </c>
      <c r="AP833" t="s">
        <v>605</v>
      </c>
      <c r="AQ833" t="s">
        <v>74</v>
      </c>
      <c r="AR833" t="s">
        <v>589</v>
      </c>
      <c r="AS833" t="s">
        <v>590</v>
      </c>
      <c r="AT833" t="s">
        <v>11704</v>
      </c>
      <c r="AU833">
        <v>2003</v>
      </c>
      <c r="AV833">
        <v>108</v>
      </c>
      <c r="AW833" t="s">
        <v>11651</v>
      </c>
      <c r="AX833" t="s">
        <v>74</v>
      </c>
      <c r="AY833" t="s">
        <v>74</v>
      </c>
      <c r="AZ833" t="s">
        <v>74</v>
      </c>
      <c r="BA833" t="s">
        <v>74</v>
      </c>
      <c r="BB833" t="s">
        <v>74</v>
      </c>
      <c r="BC833" t="s">
        <v>74</v>
      </c>
      <c r="BD833">
        <v>4110</v>
      </c>
      <c r="BE833" t="s">
        <v>11705</v>
      </c>
      <c r="BF833" t="str">
        <f>HYPERLINK("http://dx.doi.org/10.1029/2002JD002657","http://dx.doi.org/10.1029/2002JD002657")</f>
        <v>http://dx.doi.org/10.1029/2002JD002657</v>
      </c>
      <c r="BG833" t="s">
        <v>74</v>
      </c>
      <c r="BH833" t="s">
        <v>74</v>
      </c>
      <c r="BI833">
        <v>18</v>
      </c>
      <c r="BJ833" t="s">
        <v>93</v>
      </c>
      <c r="BK833" t="s">
        <v>94</v>
      </c>
      <c r="BL833" t="s">
        <v>93</v>
      </c>
      <c r="BM833" t="s">
        <v>11706</v>
      </c>
      <c r="BN833" t="s">
        <v>74</v>
      </c>
      <c r="BO833" t="s">
        <v>96</v>
      </c>
      <c r="BP833" t="s">
        <v>74</v>
      </c>
      <c r="BQ833" t="s">
        <v>74</v>
      </c>
      <c r="BR833" t="s">
        <v>97</v>
      </c>
      <c r="BS833" t="s">
        <v>11707</v>
      </c>
      <c r="BT833" t="str">
        <f>HYPERLINK("https%3A%2F%2Fwww.webofscience.com%2Fwos%2Fwoscc%2Ffull-record%2FWOS:000181889900003","View Full Record in Web of Science")</f>
        <v>View Full Record in Web of Science</v>
      </c>
    </row>
    <row r="834" spans="1:72" x14ac:dyDescent="0.15">
      <c r="A834" t="s">
        <v>72</v>
      </c>
      <c r="B834" t="s">
        <v>11708</v>
      </c>
      <c r="C834" t="s">
        <v>74</v>
      </c>
      <c r="D834" t="s">
        <v>74</v>
      </c>
      <c r="E834" t="s">
        <v>74</v>
      </c>
      <c r="F834" t="s">
        <v>11708</v>
      </c>
      <c r="G834" t="s">
        <v>74</v>
      </c>
      <c r="H834" t="s">
        <v>74</v>
      </c>
      <c r="I834" t="s">
        <v>11709</v>
      </c>
      <c r="J834" t="s">
        <v>578</v>
      </c>
      <c r="K834" t="s">
        <v>74</v>
      </c>
      <c r="L834" t="s">
        <v>74</v>
      </c>
      <c r="M834" t="s">
        <v>77</v>
      </c>
      <c r="N834" t="s">
        <v>78</v>
      </c>
      <c r="O834" t="s">
        <v>74</v>
      </c>
      <c r="P834" t="s">
        <v>74</v>
      </c>
      <c r="Q834" t="s">
        <v>74</v>
      </c>
      <c r="R834" t="s">
        <v>74</v>
      </c>
      <c r="S834" t="s">
        <v>74</v>
      </c>
      <c r="T834" t="s">
        <v>11710</v>
      </c>
      <c r="U834" t="s">
        <v>11711</v>
      </c>
      <c r="V834" t="s">
        <v>11712</v>
      </c>
      <c r="W834" t="s">
        <v>11713</v>
      </c>
      <c r="X834" t="s">
        <v>11714</v>
      </c>
      <c r="Y834" t="s">
        <v>11715</v>
      </c>
      <c r="Z834" t="s">
        <v>11716</v>
      </c>
      <c r="AA834" t="s">
        <v>11717</v>
      </c>
      <c r="AB834" t="s">
        <v>11718</v>
      </c>
      <c r="AC834" t="s">
        <v>74</v>
      </c>
      <c r="AD834" t="s">
        <v>74</v>
      </c>
      <c r="AE834" t="s">
        <v>74</v>
      </c>
      <c r="AF834" t="s">
        <v>74</v>
      </c>
      <c r="AG834">
        <v>25</v>
      </c>
      <c r="AH834">
        <v>41</v>
      </c>
      <c r="AI834">
        <v>47</v>
      </c>
      <c r="AJ834">
        <v>0</v>
      </c>
      <c r="AK834">
        <v>8</v>
      </c>
      <c r="AL834" t="s">
        <v>539</v>
      </c>
      <c r="AM834" t="s">
        <v>540</v>
      </c>
      <c r="AN834" t="s">
        <v>541</v>
      </c>
      <c r="AO834" t="s">
        <v>588</v>
      </c>
      <c r="AP834" t="s">
        <v>605</v>
      </c>
      <c r="AQ834" t="s">
        <v>74</v>
      </c>
      <c r="AR834" t="s">
        <v>589</v>
      </c>
      <c r="AS834" t="s">
        <v>590</v>
      </c>
      <c r="AT834" t="s">
        <v>11719</v>
      </c>
      <c r="AU834">
        <v>2003</v>
      </c>
      <c r="AV834">
        <v>108</v>
      </c>
      <c r="AW834" t="s">
        <v>11651</v>
      </c>
      <c r="AX834" t="s">
        <v>74</v>
      </c>
      <c r="AY834" t="s">
        <v>74</v>
      </c>
      <c r="AZ834" t="s">
        <v>74</v>
      </c>
      <c r="BA834" t="s">
        <v>74</v>
      </c>
      <c r="BB834" t="s">
        <v>74</v>
      </c>
      <c r="BC834" t="s">
        <v>74</v>
      </c>
      <c r="BD834">
        <v>4105</v>
      </c>
      <c r="BE834" t="s">
        <v>11720</v>
      </c>
      <c r="BF834" t="str">
        <f>HYPERLINK("http://dx.doi.org/10.1029/2002JD002713","http://dx.doi.org/10.1029/2002JD002713")</f>
        <v>http://dx.doi.org/10.1029/2002JD002713</v>
      </c>
      <c r="BG834" t="s">
        <v>74</v>
      </c>
      <c r="BH834" t="s">
        <v>74</v>
      </c>
      <c r="BI834">
        <v>9</v>
      </c>
      <c r="BJ834" t="s">
        <v>93</v>
      </c>
      <c r="BK834" t="s">
        <v>94</v>
      </c>
      <c r="BL834" t="s">
        <v>93</v>
      </c>
      <c r="BM834" t="s">
        <v>11721</v>
      </c>
      <c r="BN834" t="s">
        <v>74</v>
      </c>
      <c r="BO834" t="s">
        <v>96</v>
      </c>
      <c r="BP834" t="s">
        <v>74</v>
      </c>
      <c r="BQ834" t="s">
        <v>74</v>
      </c>
      <c r="BR834" t="s">
        <v>97</v>
      </c>
      <c r="BS834" t="s">
        <v>11722</v>
      </c>
      <c r="BT834" t="str">
        <f>HYPERLINK("https%3A%2F%2Fwww.webofscience.com%2Fwos%2Fwoscc%2Ffull-record%2FWOS:000181889700006","View Full Record in Web of Science")</f>
        <v>View Full Record in Web of Science</v>
      </c>
    </row>
    <row r="835" spans="1:72" x14ac:dyDescent="0.15">
      <c r="A835" t="s">
        <v>72</v>
      </c>
      <c r="B835" t="s">
        <v>11723</v>
      </c>
      <c r="C835" t="s">
        <v>74</v>
      </c>
      <c r="D835" t="s">
        <v>74</v>
      </c>
      <c r="E835" t="s">
        <v>74</v>
      </c>
      <c r="F835" t="s">
        <v>11723</v>
      </c>
      <c r="G835" t="s">
        <v>74</v>
      </c>
      <c r="H835" t="s">
        <v>74</v>
      </c>
      <c r="I835" t="s">
        <v>11724</v>
      </c>
      <c r="J835" t="s">
        <v>665</v>
      </c>
      <c r="K835" t="s">
        <v>74</v>
      </c>
      <c r="L835" t="s">
        <v>74</v>
      </c>
      <c r="M835" t="s">
        <v>77</v>
      </c>
      <c r="N835" t="s">
        <v>78</v>
      </c>
      <c r="O835" t="s">
        <v>74</v>
      </c>
      <c r="P835" t="s">
        <v>74</v>
      </c>
      <c r="Q835" t="s">
        <v>74</v>
      </c>
      <c r="R835" t="s">
        <v>74</v>
      </c>
      <c r="S835" t="s">
        <v>74</v>
      </c>
      <c r="T835" t="s">
        <v>11725</v>
      </c>
      <c r="U835" t="s">
        <v>11726</v>
      </c>
      <c r="V835" t="s">
        <v>11727</v>
      </c>
      <c r="W835" t="s">
        <v>11728</v>
      </c>
      <c r="X835" t="s">
        <v>371</v>
      </c>
      <c r="Y835" t="s">
        <v>11729</v>
      </c>
      <c r="Z835" t="s">
        <v>11730</v>
      </c>
      <c r="AA835" t="s">
        <v>74</v>
      </c>
      <c r="AB835" t="s">
        <v>11731</v>
      </c>
      <c r="AC835" t="s">
        <v>74</v>
      </c>
      <c r="AD835" t="s">
        <v>74</v>
      </c>
      <c r="AE835" t="s">
        <v>74</v>
      </c>
      <c r="AF835" t="s">
        <v>74</v>
      </c>
      <c r="AG835">
        <v>68</v>
      </c>
      <c r="AH835">
        <v>32</v>
      </c>
      <c r="AI835">
        <v>36</v>
      </c>
      <c r="AJ835">
        <v>0</v>
      </c>
      <c r="AK835">
        <v>11</v>
      </c>
      <c r="AL835" t="s">
        <v>539</v>
      </c>
      <c r="AM835" t="s">
        <v>540</v>
      </c>
      <c r="AN835" t="s">
        <v>541</v>
      </c>
      <c r="AO835" t="s">
        <v>672</v>
      </c>
      <c r="AP835" t="s">
        <v>673</v>
      </c>
      <c r="AQ835" t="s">
        <v>74</v>
      </c>
      <c r="AR835" t="s">
        <v>674</v>
      </c>
      <c r="AS835" t="s">
        <v>675</v>
      </c>
      <c r="AT835" t="s">
        <v>11719</v>
      </c>
      <c r="AU835">
        <v>2003</v>
      </c>
      <c r="AV835">
        <v>108</v>
      </c>
      <c r="AW835" t="s">
        <v>11449</v>
      </c>
      <c r="AX835" t="s">
        <v>74</v>
      </c>
      <c r="AY835" t="s">
        <v>74</v>
      </c>
      <c r="AZ835" t="s">
        <v>74</v>
      </c>
      <c r="BA835" t="s">
        <v>74</v>
      </c>
      <c r="BB835" t="s">
        <v>74</v>
      </c>
      <c r="BC835" t="s">
        <v>74</v>
      </c>
      <c r="BD835">
        <v>3022</v>
      </c>
      <c r="BE835" t="s">
        <v>11732</v>
      </c>
      <c r="BF835" t="str">
        <f>HYPERLINK("http://dx.doi.org/10.1029/2002JC001335","http://dx.doi.org/10.1029/2002JC001335")</f>
        <v>http://dx.doi.org/10.1029/2002JC001335</v>
      </c>
      <c r="BG835" t="s">
        <v>74</v>
      </c>
      <c r="BH835" t="s">
        <v>74</v>
      </c>
      <c r="BI835">
        <v>17</v>
      </c>
      <c r="BJ835" t="s">
        <v>678</v>
      </c>
      <c r="BK835" t="s">
        <v>94</v>
      </c>
      <c r="BL835" t="s">
        <v>678</v>
      </c>
      <c r="BM835" t="s">
        <v>11733</v>
      </c>
      <c r="BN835" t="s">
        <v>74</v>
      </c>
      <c r="BO835" t="s">
        <v>96</v>
      </c>
      <c r="BP835" t="s">
        <v>74</v>
      </c>
      <c r="BQ835" t="s">
        <v>74</v>
      </c>
      <c r="BR835" t="s">
        <v>97</v>
      </c>
      <c r="BS835" t="s">
        <v>11734</v>
      </c>
      <c r="BT835" t="str">
        <f>HYPERLINK("https%3A%2F%2Fwww.webofscience.com%2Fwos%2Fwoscc%2Ffull-record%2FWOS:000181892700004","View Full Record in Web of Science")</f>
        <v>View Full Record in Web of Science</v>
      </c>
    </row>
    <row r="836" spans="1:72" x14ac:dyDescent="0.15">
      <c r="A836" t="s">
        <v>72</v>
      </c>
      <c r="B836" t="s">
        <v>11735</v>
      </c>
      <c r="C836" t="s">
        <v>74</v>
      </c>
      <c r="D836" t="s">
        <v>74</v>
      </c>
      <c r="E836" t="s">
        <v>74</v>
      </c>
      <c r="F836" t="s">
        <v>11735</v>
      </c>
      <c r="G836" t="s">
        <v>74</v>
      </c>
      <c r="H836" t="s">
        <v>74</v>
      </c>
      <c r="I836" t="s">
        <v>11736</v>
      </c>
      <c r="J836" t="s">
        <v>9149</v>
      </c>
      <c r="K836" t="s">
        <v>74</v>
      </c>
      <c r="L836" t="s">
        <v>74</v>
      </c>
      <c r="M836" t="s">
        <v>77</v>
      </c>
      <c r="N836" t="s">
        <v>78</v>
      </c>
      <c r="O836" t="s">
        <v>74</v>
      </c>
      <c r="P836" t="s">
        <v>74</v>
      </c>
      <c r="Q836" t="s">
        <v>74</v>
      </c>
      <c r="R836" t="s">
        <v>74</v>
      </c>
      <c r="S836" t="s">
        <v>74</v>
      </c>
      <c r="T836" t="s">
        <v>74</v>
      </c>
      <c r="U836" t="s">
        <v>74</v>
      </c>
      <c r="V836" t="s">
        <v>74</v>
      </c>
      <c r="W836" t="s">
        <v>11737</v>
      </c>
      <c r="X836" t="s">
        <v>11738</v>
      </c>
      <c r="Y836" t="s">
        <v>11739</v>
      </c>
      <c r="Z836" t="s">
        <v>74</v>
      </c>
      <c r="AA836" t="s">
        <v>11740</v>
      </c>
      <c r="AB836" t="s">
        <v>11741</v>
      </c>
      <c r="AC836" t="s">
        <v>74</v>
      </c>
      <c r="AD836" t="s">
        <v>74</v>
      </c>
      <c r="AE836" t="s">
        <v>74</v>
      </c>
      <c r="AF836" t="s">
        <v>74</v>
      </c>
      <c r="AG836">
        <v>10</v>
      </c>
      <c r="AH836">
        <v>32</v>
      </c>
      <c r="AI836">
        <v>35</v>
      </c>
      <c r="AJ836">
        <v>4</v>
      </c>
      <c r="AK836">
        <v>19</v>
      </c>
      <c r="AL836" t="s">
        <v>9157</v>
      </c>
      <c r="AM836" t="s">
        <v>964</v>
      </c>
      <c r="AN836" t="s">
        <v>9158</v>
      </c>
      <c r="AO836" t="s">
        <v>9159</v>
      </c>
      <c r="AP836" t="s">
        <v>74</v>
      </c>
      <c r="AQ836" t="s">
        <v>74</v>
      </c>
      <c r="AR836" t="s">
        <v>9149</v>
      </c>
      <c r="AS836" t="s">
        <v>9161</v>
      </c>
      <c r="AT836" t="s">
        <v>11719</v>
      </c>
      <c r="AU836">
        <v>2003</v>
      </c>
      <c r="AV836">
        <v>421</v>
      </c>
      <c r="AW836">
        <v>6923</v>
      </c>
      <c r="AX836" t="s">
        <v>74</v>
      </c>
      <c r="AY836" t="s">
        <v>74</v>
      </c>
      <c r="AZ836" t="s">
        <v>74</v>
      </c>
      <c r="BA836" t="s">
        <v>74</v>
      </c>
      <c r="BB836">
        <v>599</v>
      </c>
      <c r="BC836">
        <v>599</v>
      </c>
      <c r="BD836" t="s">
        <v>74</v>
      </c>
      <c r="BE836" t="s">
        <v>11742</v>
      </c>
      <c r="BF836" t="str">
        <f>HYPERLINK("http://dx.doi.org/10.1038/421599a","http://dx.doi.org/10.1038/421599a")</f>
        <v>http://dx.doi.org/10.1038/421599a</v>
      </c>
      <c r="BG836" t="s">
        <v>74</v>
      </c>
      <c r="BH836" t="s">
        <v>74</v>
      </c>
      <c r="BI836">
        <v>1</v>
      </c>
      <c r="BJ836" t="s">
        <v>971</v>
      </c>
      <c r="BK836" t="s">
        <v>94</v>
      </c>
      <c r="BL836" t="s">
        <v>972</v>
      </c>
      <c r="BM836" t="s">
        <v>11743</v>
      </c>
      <c r="BN836">
        <v>12571586</v>
      </c>
      <c r="BO836" t="s">
        <v>96</v>
      </c>
      <c r="BP836" t="s">
        <v>74</v>
      </c>
      <c r="BQ836" t="s">
        <v>74</v>
      </c>
      <c r="BR836" t="s">
        <v>97</v>
      </c>
      <c r="BS836" t="s">
        <v>11744</v>
      </c>
      <c r="BT836" t="str">
        <f>HYPERLINK("https%3A%2F%2Fwww.webofscience.com%2Fwos%2Fwoscc%2Ffull-record%2FWOS:000180803200031","View Full Record in Web of Science")</f>
        <v>View Full Record in Web of Science</v>
      </c>
    </row>
    <row r="837" spans="1:72" x14ac:dyDescent="0.15">
      <c r="A837" t="s">
        <v>72</v>
      </c>
      <c r="B837" t="s">
        <v>11745</v>
      </c>
      <c r="C837" t="s">
        <v>74</v>
      </c>
      <c r="D837" t="s">
        <v>74</v>
      </c>
      <c r="E837" t="s">
        <v>74</v>
      </c>
      <c r="F837" t="s">
        <v>11745</v>
      </c>
      <c r="G837" t="s">
        <v>74</v>
      </c>
      <c r="H837" t="s">
        <v>74</v>
      </c>
      <c r="I837" t="s">
        <v>11746</v>
      </c>
      <c r="J837" t="s">
        <v>11747</v>
      </c>
      <c r="K837" t="s">
        <v>74</v>
      </c>
      <c r="L837" t="s">
        <v>74</v>
      </c>
      <c r="M837" t="s">
        <v>77</v>
      </c>
      <c r="N837" t="s">
        <v>78</v>
      </c>
      <c r="O837" t="s">
        <v>74</v>
      </c>
      <c r="P837" t="s">
        <v>74</v>
      </c>
      <c r="Q837" t="s">
        <v>74</v>
      </c>
      <c r="R837" t="s">
        <v>74</v>
      </c>
      <c r="S837" t="s">
        <v>74</v>
      </c>
      <c r="T837" t="s">
        <v>11748</v>
      </c>
      <c r="U837" t="s">
        <v>11749</v>
      </c>
      <c r="V837" t="s">
        <v>11750</v>
      </c>
      <c r="W837" t="s">
        <v>11751</v>
      </c>
      <c r="X837" t="s">
        <v>74</v>
      </c>
      <c r="Y837" t="s">
        <v>11752</v>
      </c>
      <c r="Z837" t="s">
        <v>74</v>
      </c>
      <c r="AA837" t="s">
        <v>74</v>
      </c>
      <c r="AB837" t="s">
        <v>74</v>
      </c>
      <c r="AC837" t="s">
        <v>74</v>
      </c>
      <c r="AD837" t="s">
        <v>74</v>
      </c>
      <c r="AE837" t="s">
        <v>74</v>
      </c>
      <c r="AF837" t="s">
        <v>74</v>
      </c>
      <c r="AG837">
        <v>25</v>
      </c>
      <c r="AH837">
        <v>14</v>
      </c>
      <c r="AI837">
        <v>14</v>
      </c>
      <c r="AJ837">
        <v>0</v>
      </c>
      <c r="AK837">
        <v>9</v>
      </c>
      <c r="AL837" t="s">
        <v>11753</v>
      </c>
      <c r="AM837" t="s">
        <v>170</v>
      </c>
      <c r="AN837" t="s">
        <v>11754</v>
      </c>
      <c r="AO837" t="s">
        <v>11755</v>
      </c>
      <c r="AP837" t="s">
        <v>74</v>
      </c>
      <c r="AQ837" t="s">
        <v>74</v>
      </c>
      <c r="AR837" t="s">
        <v>11756</v>
      </c>
      <c r="AS837" t="s">
        <v>11757</v>
      </c>
      <c r="AT837" t="s">
        <v>11758</v>
      </c>
      <c r="AU837">
        <v>2003</v>
      </c>
      <c r="AV837">
        <v>5</v>
      </c>
      <c r="AW837">
        <v>1</v>
      </c>
      <c r="AX837" t="s">
        <v>74</v>
      </c>
      <c r="AY837" t="s">
        <v>74</v>
      </c>
      <c r="AZ837" t="s">
        <v>74</v>
      </c>
      <c r="BA837" t="s">
        <v>74</v>
      </c>
      <c r="BB837">
        <v>43</v>
      </c>
      <c r="BC837">
        <v>49</v>
      </c>
      <c r="BD837" t="s">
        <v>74</v>
      </c>
      <c r="BE837" t="s">
        <v>11759</v>
      </c>
      <c r="BF837" t="str">
        <f>HYPERLINK("http://dx.doi.org/10.1046/j.1461-9563.2003.00161.x","http://dx.doi.org/10.1046/j.1461-9563.2003.00161.x")</f>
        <v>http://dx.doi.org/10.1046/j.1461-9563.2003.00161.x</v>
      </c>
      <c r="BG837" t="s">
        <v>74</v>
      </c>
      <c r="BH837" t="s">
        <v>74</v>
      </c>
      <c r="BI837">
        <v>7</v>
      </c>
      <c r="BJ837" t="s">
        <v>7009</v>
      </c>
      <c r="BK837" t="s">
        <v>94</v>
      </c>
      <c r="BL837" t="s">
        <v>7009</v>
      </c>
      <c r="BM837" t="s">
        <v>11760</v>
      </c>
      <c r="BN837" t="s">
        <v>74</v>
      </c>
      <c r="BO837" t="s">
        <v>96</v>
      </c>
      <c r="BP837" t="s">
        <v>74</v>
      </c>
      <c r="BQ837" t="s">
        <v>74</v>
      </c>
      <c r="BR837" t="s">
        <v>97</v>
      </c>
      <c r="BS837" t="s">
        <v>11761</v>
      </c>
      <c r="BT837" t="str">
        <f>HYPERLINK("https%3A%2F%2Fwww.webofscience.com%2Fwos%2Fwoscc%2Ffull-record%2FWOS:000183017500006","View Full Record in Web of Science")</f>
        <v>View Full Record in Web of Science</v>
      </c>
    </row>
    <row r="838" spans="1:72" x14ac:dyDescent="0.15">
      <c r="A838" t="s">
        <v>72</v>
      </c>
      <c r="B838" t="s">
        <v>11762</v>
      </c>
      <c r="C838" t="s">
        <v>74</v>
      </c>
      <c r="D838" t="s">
        <v>74</v>
      </c>
      <c r="E838" t="s">
        <v>74</v>
      </c>
      <c r="F838" t="s">
        <v>11762</v>
      </c>
      <c r="G838" t="s">
        <v>74</v>
      </c>
      <c r="H838" t="s">
        <v>74</v>
      </c>
      <c r="I838" t="s">
        <v>11763</v>
      </c>
      <c r="J838" t="s">
        <v>11764</v>
      </c>
      <c r="K838" t="s">
        <v>74</v>
      </c>
      <c r="L838" t="s">
        <v>74</v>
      </c>
      <c r="M838" t="s">
        <v>77</v>
      </c>
      <c r="N838" t="s">
        <v>78</v>
      </c>
      <c r="O838" t="s">
        <v>74</v>
      </c>
      <c r="P838" t="s">
        <v>74</v>
      </c>
      <c r="Q838" t="s">
        <v>74</v>
      </c>
      <c r="R838" t="s">
        <v>74</v>
      </c>
      <c r="S838" t="s">
        <v>74</v>
      </c>
      <c r="T838" t="s">
        <v>74</v>
      </c>
      <c r="U838" t="s">
        <v>11765</v>
      </c>
      <c r="V838" t="s">
        <v>11766</v>
      </c>
      <c r="W838" t="s">
        <v>11767</v>
      </c>
      <c r="X838" t="s">
        <v>11768</v>
      </c>
      <c r="Y838" t="s">
        <v>11769</v>
      </c>
      <c r="Z838" t="s">
        <v>74</v>
      </c>
      <c r="AA838" t="s">
        <v>74</v>
      </c>
      <c r="AB838" t="s">
        <v>74</v>
      </c>
      <c r="AC838" t="s">
        <v>74</v>
      </c>
      <c r="AD838" t="s">
        <v>74</v>
      </c>
      <c r="AE838" t="s">
        <v>74</v>
      </c>
      <c r="AF838" t="s">
        <v>74</v>
      </c>
      <c r="AG838">
        <v>66</v>
      </c>
      <c r="AH838">
        <v>50</v>
      </c>
      <c r="AI838">
        <v>59</v>
      </c>
      <c r="AJ838">
        <v>0</v>
      </c>
      <c r="AK838">
        <v>25</v>
      </c>
      <c r="AL838" t="s">
        <v>3611</v>
      </c>
      <c r="AM838" t="s">
        <v>964</v>
      </c>
      <c r="AN838" t="s">
        <v>3612</v>
      </c>
      <c r="AO838" t="s">
        <v>11770</v>
      </c>
      <c r="AP838" t="s">
        <v>74</v>
      </c>
      <c r="AQ838" t="s">
        <v>74</v>
      </c>
      <c r="AR838" t="s">
        <v>11771</v>
      </c>
      <c r="AS838" t="s">
        <v>11772</v>
      </c>
      <c r="AT838" t="s">
        <v>11758</v>
      </c>
      <c r="AU838">
        <v>2003</v>
      </c>
      <c r="AV838">
        <v>65</v>
      </c>
      <c r="AW838" t="s">
        <v>74</v>
      </c>
      <c r="AX838">
        <v>2</v>
      </c>
      <c r="AY838" t="s">
        <v>74</v>
      </c>
      <c r="AZ838" t="s">
        <v>74</v>
      </c>
      <c r="BA838" t="s">
        <v>74</v>
      </c>
      <c r="BB838">
        <v>273</v>
      </c>
      <c r="BC838">
        <v>283</v>
      </c>
      <c r="BD838" t="s">
        <v>74</v>
      </c>
      <c r="BE838" t="s">
        <v>11773</v>
      </c>
      <c r="BF838" t="str">
        <f>HYPERLINK("http://dx.doi.org/10.1006/anbe.2003.2048","http://dx.doi.org/10.1006/anbe.2003.2048")</f>
        <v>http://dx.doi.org/10.1006/anbe.2003.2048</v>
      </c>
      <c r="BG838" t="s">
        <v>74</v>
      </c>
      <c r="BH838" t="s">
        <v>74</v>
      </c>
      <c r="BI838">
        <v>11</v>
      </c>
      <c r="BJ838" t="s">
        <v>11774</v>
      </c>
      <c r="BK838" t="s">
        <v>94</v>
      </c>
      <c r="BL838" t="s">
        <v>11774</v>
      </c>
      <c r="BM838" t="s">
        <v>11775</v>
      </c>
      <c r="BN838" t="s">
        <v>74</v>
      </c>
      <c r="BO838" t="s">
        <v>74</v>
      </c>
      <c r="BP838" t="s">
        <v>74</v>
      </c>
      <c r="BQ838" t="s">
        <v>74</v>
      </c>
      <c r="BR838" t="s">
        <v>97</v>
      </c>
      <c r="BS838" t="s">
        <v>11776</v>
      </c>
      <c r="BT838" t="str">
        <f>HYPERLINK("https%3A%2F%2Fwww.webofscience.com%2Fwos%2Fwoscc%2Ffull-record%2FWOS:000181391800002","View Full Record in Web of Science")</f>
        <v>View Full Record in Web of Science</v>
      </c>
    </row>
    <row r="839" spans="1:72" x14ac:dyDescent="0.15">
      <c r="A839" t="s">
        <v>72</v>
      </c>
      <c r="B839" t="s">
        <v>11777</v>
      </c>
      <c r="C839" t="s">
        <v>74</v>
      </c>
      <c r="D839" t="s">
        <v>74</v>
      </c>
      <c r="E839" t="s">
        <v>74</v>
      </c>
      <c r="F839" t="s">
        <v>11777</v>
      </c>
      <c r="G839" t="s">
        <v>74</v>
      </c>
      <c r="H839" t="s">
        <v>74</v>
      </c>
      <c r="I839" t="s">
        <v>11778</v>
      </c>
      <c r="J839" t="s">
        <v>9223</v>
      </c>
      <c r="K839" t="s">
        <v>74</v>
      </c>
      <c r="L839" t="s">
        <v>74</v>
      </c>
      <c r="M839" t="s">
        <v>77</v>
      </c>
      <c r="N839" t="s">
        <v>78</v>
      </c>
      <c r="O839" t="s">
        <v>74</v>
      </c>
      <c r="P839" t="s">
        <v>74</v>
      </c>
      <c r="Q839" t="s">
        <v>74</v>
      </c>
      <c r="R839" t="s">
        <v>74</v>
      </c>
      <c r="S839" t="s">
        <v>74</v>
      </c>
      <c r="T839" t="s">
        <v>11779</v>
      </c>
      <c r="U839" t="s">
        <v>11780</v>
      </c>
      <c r="V839" t="s">
        <v>11781</v>
      </c>
      <c r="W839" t="s">
        <v>11782</v>
      </c>
      <c r="X839" t="s">
        <v>11783</v>
      </c>
      <c r="Y839" t="s">
        <v>11784</v>
      </c>
      <c r="Z839" t="s">
        <v>74</v>
      </c>
      <c r="AA839" t="s">
        <v>11785</v>
      </c>
      <c r="AB839" t="s">
        <v>11786</v>
      </c>
      <c r="AC839" t="s">
        <v>74</v>
      </c>
      <c r="AD839" t="s">
        <v>74</v>
      </c>
      <c r="AE839" t="s">
        <v>74</v>
      </c>
      <c r="AF839" t="s">
        <v>74</v>
      </c>
      <c r="AG839">
        <v>10</v>
      </c>
      <c r="AH839">
        <v>9</v>
      </c>
      <c r="AI839">
        <v>11</v>
      </c>
      <c r="AJ839">
        <v>0</v>
      </c>
      <c r="AK839">
        <v>1</v>
      </c>
      <c r="AL839" t="s">
        <v>9246</v>
      </c>
      <c r="AM839" t="s">
        <v>9247</v>
      </c>
      <c r="AN839" t="s">
        <v>9248</v>
      </c>
      <c r="AO839" t="s">
        <v>9234</v>
      </c>
      <c r="AP839" t="s">
        <v>74</v>
      </c>
      <c r="AQ839" t="s">
        <v>74</v>
      </c>
      <c r="AR839" t="s">
        <v>9236</v>
      </c>
      <c r="AS839" t="s">
        <v>3120</v>
      </c>
      <c r="AT839" t="s">
        <v>11758</v>
      </c>
      <c r="AU839">
        <v>2003</v>
      </c>
      <c r="AV839">
        <v>46</v>
      </c>
      <c r="AW839">
        <v>1</v>
      </c>
      <c r="AX839" t="s">
        <v>74</v>
      </c>
      <c r="AY839" t="s">
        <v>74</v>
      </c>
      <c r="AZ839" t="s">
        <v>74</v>
      </c>
      <c r="BA839" t="s">
        <v>74</v>
      </c>
      <c r="BB839">
        <v>39</v>
      </c>
      <c r="BC839">
        <v>46</v>
      </c>
      <c r="BD839" t="s">
        <v>74</v>
      </c>
      <c r="BE839" t="s">
        <v>74</v>
      </c>
      <c r="BF839" t="s">
        <v>74</v>
      </c>
      <c r="BG839" t="s">
        <v>74</v>
      </c>
      <c r="BH839" t="s">
        <v>74</v>
      </c>
      <c r="BI839">
        <v>8</v>
      </c>
      <c r="BJ839" t="s">
        <v>176</v>
      </c>
      <c r="BK839" t="s">
        <v>94</v>
      </c>
      <c r="BL839" t="s">
        <v>176</v>
      </c>
      <c r="BM839" t="s">
        <v>11787</v>
      </c>
      <c r="BN839" t="s">
        <v>74</v>
      </c>
      <c r="BO839" t="s">
        <v>74</v>
      </c>
      <c r="BP839" t="s">
        <v>74</v>
      </c>
      <c r="BQ839" t="s">
        <v>74</v>
      </c>
      <c r="BR839" t="s">
        <v>97</v>
      </c>
      <c r="BS839" t="s">
        <v>11788</v>
      </c>
      <c r="BT839" t="str">
        <f>HYPERLINK("https%3A%2F%2Fwww.webofscience.com%2Fwos%2Fwoscc%2Ffull-record%2FWOS:000182045900004","View Full Record in Web of Science")</f>
        <v>View Full Record in Web of Science</v>
      </c>
    </row>
    <row r="840" spans="1:72" x14ac:dyDescent="0.15">
      <c r="A840" t="s">
        <v>72</v>
      </c>
      <c r="B840" t="s">
        <v>11789</v>
      </c>
      <c r="C840" t="s">
        <v>74</v>
      </c>
      <c r="D840" t="s">
        <v>74</v>
      </c>
      <c r="E840" t="s">
        <v>74</v>
      </c>
      <c r="F840" t="s">
        <v>11789</v>
      </c>
      <c r="G840" t="s">
        <v>74</v>
      </c>
      <c r="H840" t="s">
        <v>74</v>
      </c>
      <c r="I840" t="s">
        <v>11790</v>
      </c>
      <c r="J840" t="s">
        <v>3151</v>
      </c>
      <c r="K840" t="s">
        <v>74</v>
      </c>
      <c r="L840" t="s">
        <v>74</v>
      </c>
      <c r="M840" t="s">
        <v>77</v>
      </c>
      <c r="N840" t="s">
        <v>78</v>
      </c>
      <c r="O840" t="s">
        <v>74</v>
      </c>
      <c r="P840" t="s">
        <v>74</v>
      </c>
      <c r="Q840" t="s">
        <v>74</v>
      </c>
      <c r="R840" t="s">
        <v>74</v>
      </c>
      <c r="S840" t="s">
        <v>74</v>
      </c>
      <c r="T840" t="s">
        <v>74</v>
      </c>
      <c r="U840" t="s">
        <v>11791</v>
      </c>
      <c r="V840" t="s">
        <v>11792</v>
      </c>
      <c r="W840" t="s">
        <v>11793</v>
      </c>
      <c r="X840" t="s">
        <v>11794</v>
      </c>
      <c r="Y840" t="s">
        <v>11795</v>
      </c>
      <c r="Z840" t="s">
        <v>11796</v>
      </c>
      <c r="AA840" t="s">
        <v>74</v>
      </c>
      <c r="AB840" t="s">
        <v>74</v>
      </c>
      <c r="AC840" t="s">
        <v>74</v>
      </c>
      <c r="AD840" t="s">
        <v>74</v>
      </c>
      <c r="AE840" t="s">
        <v>74</v>
      </c>
      <c r="AF840" t="s">
        <v>74</v>
      </c>
      <c r="AG840">
        <v>28</v>
      </c>
      <c r="AH840">
        <v>49</v>
      </c>
      <c r="AI840">
        <v>53</v>
      </c>
      <c r="AJ840">
        <v>0</v>
      </c>
      <c r="AK840">
        <v>15</v>
      </c>
      <c r="AL840" t="s">
        <v>3185</v>
      </c>
      <c r="AM840" t="s">
        <v>1748</v>
      </c>
      <c r="AN840" t="s">
        <v>3186</v>
      </c>
      <c r="AO840" t="s">
        <v>3160</v>
      </c>
      <c r="AP840" t="s">
        <v>3161</v>
      </c>
      <c r="AQ840" t="s">
        <v>74</v>
      </c>
      <c r="AR840" t="s">
        <v>3162</v>
      </c>
      <c r="AS840" t="s">
        <v>3163</v>
      </c>
      <c r="AT840" t="s">
        <v>11758</v>
      </c>
      <c r="AU840">
        <v>2003</v>
      </c>
      <c r="AV840">
        <v>35</v>
      </c>
      <c r="AW840">
        <v>1</v>
      </c>
      <c r="AX840" t="s">
        <v>74</v>
      </c>
      <c r="AY840" t="s">
        <v>74</v>
      </c>
      <c r="AZ840" t="s">
        <v>74</v>
      </c>
      <c r="BA840" t="s">
        <v>74</v>
      </c>
      <c r="BB840">
        <v>1</v>
      </c>
      <c r="BC840">
        <v>7</v>
      </c>
      <c r="BD840" t="s">
        <v>74</v>
      </c>
      <c r="BE840" t="s">
        <v>11797</v>
      </c>
      <c r="BF840" t="str">
        <f>HYPERLINK("http://dx.doi.org/10.1657/1523-0430(2003)035[0001:EOCCOS]2.0.CO;2","http://dx.doi.org/10.1657/1523-0430(2003)035[0001:EOCCOS]2.0.CO;2")</f>
        <v>http://dx.doi.org/10.1657/1523-0430(2003)035[0001:EOCCOS]2.0.CO;2</v>
      </c>
      <c r="BG840" t="s">
        <v>74</v>
      </c>
      <c r="BH840" t="s">
        <v>74</v>
      </c>
      <c r="BI840">
        <v>7</v>
      </c>
      <c r="BJ840" t="s">
        <v>3165</v>
      </c>
      <c r="BK840" t="s">
        <v>94</v>
      </c>
      <c r="BL840" t="s">
        <v>3166</v>
      </c>
      <c r="BM840" t="s">
        <v>11798</v>
      </c>
      <c r="BN840" t="s">
        <v>74</v>
      </c>
      <c r="BO840" t="s">
        <v>96</v>
      </c>
      <c r="BP840" t="s">
        <v>74</v>
      </c>
      <c r="BQ840" t="s">
        <v>74</v>
      </c>
      <c r="BR840" t="s">
        <v>97</v>
      </c>
      <c r="BS840" t="s">
        <v>11799</v>
      </c>
      <c r="BT840" t="str">
        <f>HYPERLINK("https%3A%2F%2Fwww.webofscience.com%2Fwos%2Fwoscc%2Ffull-record%2FWOS:000181915900001","View Full Record in Web of Science")</f>
        <v>View Full Record in Web of Science</v>
      </c>
    </row>
    <row r="841" spans="1:72" x14ac:dyDescent="0.15">
      <c r="A841" t="s">
        <v>72</v>
      </c>
      <c r="B841" t="s">
        <v>11800</v>
      </c>
      <c r="C841" t="s">
        <v>74</v>
      </c>
      <c r="D841" t="s">
        <v>74</v>
      </c>
      <c r="E841" t="s">
        <v>74</v>
      </c>
      <c r="F841" t="s">
        <v>11800</v>
      </c>
      <c r="G841" t="s">
        <v>74</v>
      </c>
      <c r="H841" t="s">
        <v>74</v>
      </c>
      <c r="I841" t="s">
        <v>11801</v>
      </c>
      <c r="J841" t="s">
        <v>3151</v>
      </c>
      <c r="K841" t="s">
        <v>74</v>
      </c>
      <c r="L841" t="s">
        <v>74</v>
      </c>
      <c r="M841" t="s">
        <v>77</v>
      </c>
      <c r="N841" t="s">
        <v>78</v>
      </c>
      <c r="O841" t="s">
        <v>74</v>
      </c>
      <c r="P841" t="s">
        <v>74</v>
      </c>
      <c r="Q841" t="s">
        <v>74</v>
      </c>
      <c r="R841" t="s">
        <v>74</v>
      </c>
      <c r="S841" t="s">
        <v>74</v>
      </c>
      <c r="T841" t="s">
        <v>74</v>
      </c>
      <c r="U841" t="s">
        <v>11802</v>
      </c>
      <c r="V841" t="s">
        <v>11803</v>
      </c>
      <c r="W841" t="s">
        <v>11804</v>
      </c>
      <c r="X841" t="s">
        <v>11805</v>
      </c>
      <c r="Y841" t="s">
        <v>11806</v>
      </c>
      <c r="Z841" t="s">
        <v>74</v>
      </c>
      <c r="AA841" t="s">
        <v>11807</v>
      </c>
      <c r="AB841" t="s">
        <v>11808</v>
      </c>
      <c r="AC841" t="s">
        <v>74</v>
      </c>
      <c r="AD841" t="s">
        <v>74</v>
      </c>
      <c r="AE841" t="s">
        <v>74</v>
      </c>
      <c r="AF841" t="s">
        <v>74</v>
      </c>
      <c r="AG841">
        <v>62</v>
      </c>
      <c r="AH841">
        <v>26</v>
      </c>
      <c r="AI841">
        <v>26</v>
      </c>
      <c r="AJ841">
        <v>1</v>
      </c>
      <c r="AK841">
        <v>21</v>
      </c>
      <c r="AL841" t="s">
        <v>3185</v>
      </c>
      <c r="AM841" t="s">
        <v>1748</v>
      </c>
      <c r="AN841" t="s">
        <v>3186</v>
      </c>
      <c r="AO841" t="s">
        <v>3160</v>
      </c>
      <c r="AP841" t="s">
        <v>74</v>
      </c>
      <c r="AQ841" t="s">
        <v>74</v>
      </c>
      <c r="AR841" t="s">
        <v>3162</v>
      </c>
      <c r="AS841" t="s">
        <v>3163</v>
      </c>
      <c r="AT841" t="s">
        <v>11758</v>
      </c>
      <c r="AU841">
        <v>2003</v>
      </c>
      <c r="AV841">
        <v>35</v>
      </c>
      <c r="AW841">
        <v>1</v>
      </c>
      <c r="AX841" t="s">
        <v>74</v>
      </c>
      <c r="AY841" t="s">
        <v>74</v>
      </c>
      <c r="AZ841" t="s">
        <v>74</v>
      </c>
      <c r="BA841" t="s">
        <v>74</v>
      </c>
      <c r="BB841">
        <v>8</v>
      </c>
      <c r="BC841">
        <v>17</v>
      </c>
      <c r="BD841" t="s">
        <v>74</v>
      </c>
      <c r="BE841" t="s">
        <v>11809</v>
      </c>
      <c r="BF841" t="str">
        <f>HYPERLINK("http://dx.doi.org/10.1657/1523-0430(2003)035[0008:RSITHA]2.0.CO;2","http://dx.doi.org/10.1657/1523-0430(2003)035[0008:RSITHA]2.0.CO;2")</f>
        <v>http://dx.doi.org/10.1657/1523-0430(2003)035[0008:RSITHA]2.0.CO;2</v>
      </c>
      <c r="BG841" t="s">
        <v>74</v>
      </c>
      <c r="BH841" t="s">
        <v>74</v>
      </c>
      <c r="BI841">
        <v>10</v>
      </c>
      <c r="BJ841" t="s">
        <v>3165</v>
      </c>
      <c r="BK841" t="s">
        <v>94</v>
      </c>
      <c r="BL841" t="s">
        <v>3166</v>
      </c>
      <c r="BM841" t="s">
        <v>11798</v>
      </c>
      <c r="BN841" t="s">
        <v>74</v>
      </c>
      <c r="BO841" t="s">
        <v>1767</v>
      </c>
      <c r="BP841" t="s">
        <v>74</v>
      </c>
      <c r="BQ841" t="s">
        <v>74</v>
      </c>
      <c r="BR841" t="s">
        <v>97</v>
      </c>
      <c r="BS841" t="s">
        <v>11810</v>
      </c>
      <c r="BT841" t="str">
        <f>HYPERLINK("https%3A%2F%2Fwww.webofscience.com%2Fwos%2Fwoscc%2Ffull-record%2FWOS:000181915900002","View Full Record in Web of Science")</f>
        <v>View Full Record in Web of Science</v>
      </c>
    </row>
    <row r="842" spans="1:72" x14ac:dyDescent="0.15">
      <c r="A842" t="s">
        <v>72</v>
      </c>
      <c r="B842" t="s">
        <v>11811</v>
      </c>
      <c r="C842" t="s">
        <v>74</v>
      </c>
      <c r="D842" t="s">
        <v>74</v>
      </c>
      <c r="E842" t="s">
        <v>74</v>
      </c>
      <c r="F842" t="s">
        <v>11811</v>
      </c>
      <c r="G842" t="s">
        <v>74</v>
      </c>
      <c r="H842" t="s">
        <v>74</v>
      </c>
      <c r="I842" t="s">
        <v>11812</v>
      </c>
      <c r="J842" t="s">
        <v>3151</v>
      </c>
      <c r="K842" t="s">
        <v>74</v>
      </c>
      <c r="L842" t="s">
        <v>74</v>
      </c>
      <c r="M842" t="s">
        <v>77</v>
      </c>
      <c r="N842" t="s">
        <v>78</v>
      </c>
      <c r="O842" t="s">
        <v>74</v>
      </c>
      <c r="P842" t="s">
        <v>74</v>
      </c>
      <c r="Q842" t="s">
        <v>74</v>
      </c>
      <c r="R842" t="s">
        <v>74</v>
      </c>
      <c r="S842" t="s">
        <v>74</v>
      </c>
      <c r="T842" t="s">
        <v>74</v>
      </c>
      <c r="U842" t="s">
        <v>11813</v>
      </c>
      <c r="V842" t="s">
        <v>11814</v>
      </c>
      <c r="W842" t="s">
        <v>11815</v>
      </c>
      <c r="X842" t="s">
        <v>11816</v>
      </c>
      <c r="Y842" t="s">
        <v>11817</v>
      </c>
      <c r="Z842" t="s">
        <v>74</v>
      </c>
      <c r="AA842" t="s">
        <v>11818</v>
      </c>
      <c r="AB842" t="s">
        <v>11819</v>
      </c>
      <c r="AC842" t="s">
        <v>74</v>
      </c>
      <c r="AD842" t="s">
        <v>74</v>
      </c>
      <c r="AE842" t="s">
        <v>74</v>
      </c>
      <c r="AF842" t="s">
        <v>74</v>
      </c>
      <c r="AG842">
        <v>47</v>
      </c>
      <c r="AH842">
        <v>92</v>
      </c>
      <c r="AI842">
        <v>108</v>
      </c>
      <c r="AJ842">
        <v>0</v>
      </c>
      <c r="AK842">
        <v>42</v>
      </c>
      <c r="AL842" t="s">
        <v>3185</v>
      </c>
      <c r="AM842" t="s">
        <v>1748</v>
      </c>
      <c r="AN842" t="s">
        <v>3186</v>
      </c>
      <c r="AO842" t="s">
        <v>3160</v>
      </c>
      <c r="AP842" t="s">
        <v>74</v>
      </c>
      <c r="AQ842" t="s">
        <v>74</v>
      </c>
      <c r="AR842" t="s">
        <v>3162</v>
      </c>
      <c r="AS842" t="s">
        <v>3163</v>
      </c>
      <c r="AT842" t="s">
        <v>11758</v>
      </c>
      <c r="AU842">
        <v>2003</v>
      </c>
      <c r="AV842">
        <v>35</v>
      </c>
      <c r="AW842">
        <v>1</v>
      </c>
      <c r="AX842" t="s">
        <v>74</v>
      </c>
      <c r="AY842" t="s">
        <v>74</v>
      </c>
      <c r="AZ842" t="s">
        <v>74</v>
      </c>
      <c r="BA842" t="s">
        <v>74</v>
      </c>
      <c r="BB842">
        <v>18</v>
      </c>
      <c r="BC842">
        <v>23</v>
      </c>
      <c r="BD842" t="s">
        <v>74</v>
      </c>
      <c r="BE842" t="s">
        <v>11820</v>
      </c>
      <c r="BF842" t="str">
        <f>HYPERLINK("http://dx.doi.org/10.1657/1523-0430(2003)035[0018:RCITDC]2.0.CO;2","http://dx.doi.org/10.1657/1523-0430(2003)035[0018:RCITDC]2.0.CO;2")</f>
        <v>http://dx.doi.org/10.1657/1523-0430(2003)035[0018:RCITDC]2.0.CO;2</v>
      </c>
      <c r="BG842" t="s">
        <v>74</v>
      </c>
      <c r="BH842" t="s">
        <v>74</v>
      </c>
      <c r="BI842">
        <v>6</v>
      </c>
      <c r="BJ842" t="s">
        <v>3165</v>
      </c>
      <c r="BK842" t="s">
        <v>94</v>
      </c>
      <c r="BL842" t="s">
        <v>3166</v>
      </c>
      <c r="BM842" t="s">
        <v>11798</v>
      </c>
      <c r="BN842" t="s">
        <v>74</v>
      </c>
      <c r="BO842" t="s">
        <v>1767</v>
      </c>
      <c r="BP842" t="s">
        <v>74</v>
      </c>
      <c r="BQ842" t="s">
        <v>74</v>
      </c>
      <c r="BR842" t="s">
        <v>97</v>
      </c>
      <c r="BS842" t="s">
        <v>11821</v>
      </c>
      <c r="BT842" t="str">
        <f>HYPERLINK("https%3A%2F%2Fwww.webofscience.com%2Fwos%2Fwoscc%2Ffull-record%2FWOS:000181915900003","View Full Record in Web of Science")</f>
        <v>View Full Record in Web of Science</v>
      </c>
    </row>
    <row r="843" spans="1:72" x14ac:dyDescent="0.15">
      <c r="A843" t="s">
        <v>72</v>
      </c>
      <c r="B843" t="s">
        <v>11822</v>
      </c>
      <c r="C843" t="s">
        <v>74</v>
      </c>
      <c r="D843" t="s">
        <v>74</v>
      </c>
      <c r="E843" t="s">
        <v>74</v>
      </c>
      <c r="F843" t="s">
        <v>11822</v>
      </c>
      <c r="G843" t="s">
        <v>74</v>
      </c>
      <c r="H843" t="s">
        <v>74</v>
      </c>
      <c r="I843" t="s">
        <v>11823</v>
      </c>
      <c r="J843" t="s">
        <v>3151</v>
      </c>
      <c r="K843" t="s">
        <v>74</v>
      </c>
      <c r="L843" t="s">
        <v>74</v>
      </c>
      <c r="M843" t="s">
        <v>77</v>
      </c>
      <c r="N843" t="s">
        <v>78</v>
      </c>
      <c r="O843" t="s">
        <v>74</v>
      </c>
      <c r="P843" t="s">
        <v>74</v>
      </c>
      <c r="Q843" t="s">
        <v>74</v>
      </c>
      <c r="R843" t="s">
        <v>74</v>
      </c>
      <c r="S843" t="s">
        <v>74</v>
      </c>
      <c r="T843" t="s">
        <v>74</v>
      </c>
      <c r="U843" t="s">
        <v>11824</v>
      </c>
      <c r="V843" t="s">
        <v>11825</v>
      </c>
      <c r="W843" t="s">
        <v>11826</v>
      </c>
      <c r="X843" t="s">
        <v>11827</v>
      </c>
      <c r="Y843" t="s">
        <v>11828</v>
      </c>
      <c r="Z843" t="s">
        <v>74</v>
      </c>
      <c r="AA843" t="s">
        <v>74</v>
      </c>
      <c r="AB843" t="s">
        <v>11829</v>
      </c>
      <c r="AC843" t="s">
        <v>74</v>
      </c>
      <c r="AD843" t="s">
        <v>74</v>
      </c>
      <c r="AE843" t="s">
        <v>74</v>
      </c>
      <c r="AF843" t="s">
        <v>74</v>
      </c>
      <c r="AG843">
        <v>30</v>
      </c>
      <c r="AH843">
        <v>18</v>
      </c>
      <c r="AI843">
        <v>22</v>
      </c>
      <c r="AJ843">
        <v>0</v>
      </c>
      <c r="AK843">
        <v>7</v>
      </c>
      <c r="AL843" t="s">
        <v>3185</v>
      </c>
      <c r="AM843" t="s">
        <v>1748</v>
      </c>
      <c r="AN843" t="s">
        <v>3186</v>
      </c>
      <c r="AO843" t="s">
        <v>3160</v>
      </c>
      <c r="AP843" t="s">
        <v>74</v>
      </c>
      <c r="AQ843" t="s">
        <v>74</v>
      </c>
      <c r="AR843" t="s">
        <v>3162</v>
      </c>
      <c r="AS843" t="s">
        <v>3163</v>
      </c>
      <c r="AT843" t="s">
        <v>11758</v>
      </c>
      <c r="AU843">
        <v>2003</v>
      </c>
      <c r="AV843">
        <v>35</v>
      </c>
      <c r="AW843">
        <v>1</v>
      </c>
      <c r="AX843" t="s">
        <v>74</v>
      </c>
      <c r="AY843" t="s">
        <v>74</v>
      </c>
      <c r="AZ843" t="s">
        <v>74</v>
      </c>
      <c r="BA843" t="s">
        <v>74</v>
      </c>
      <c r="BB843">
        <v>24</v>
      </c>
      <c r="BC843">
        <v>33</v>
      </c>
      <c r="BD843" t="s">
        <v>74</v>
      </c>
      <c r="BE843" t="s">
        <v>11830</v>
      </c>
      <c r="BF843" t="str">
        <f>HYPERLINK("http://dx.doi.org/10.1657/1523-0430(2003)035[0024:STROGS]2.0.CO;2","http://dx.doi.org/10.1657/1523-0430(2003)035[0024:STROGS]2.0.CO;2")</f>
        <v>http://dx.doi.org/10.1657/1523-0430(2003)035[0024:STROGS]2.0.CO;2</v>
      </c>
      <c r="BG843" t="s">
        <v>74</v>
      </c>
      <c r="BH843" t="s">
        <v>74</v>
      </c>
      <c r="BI843">
        <v>10</v>
      </c>
      <c r="BJ843" t="s">
        <v>3165</v>
      </c>
      <c r="BK843" t="s">
        <v>94</v>
      </c>
      <c r="BL843" t="s">
        <v>3166</v>
      </c>
      <c r="BM843" t="s">
        <v>11798</v>
      </c>
      <c r="BN843" t="s">
        <v>74</v>
      </c>
      <c r="BO843" t="s">
        <v>1767</v>
      </c>
      <c r="BP843" t="s">
        <v>74</v>
      </c>
      <c r="BQ843" t="s">
        <v>74</v>
      </c>
      <c r="BR843" t="s">
        <v>97</v>
      </c>
      <c r="BS843" t="s">
        <v>11831</v>
      </c>
      <c r="BT843" t="str">
        <f>HYPERLINK("https%3A%2F%2Fwww.webofscience.com%2Fwos%2Fwoscc%2Ffull-record%2FWOS:000181915900004","View Full Record in Web of Science")</f>
        <v>View Full Record in Web of Science</v>
      </c>
    </row>
    <row r="844" spans="1:72" x14ac:dyDescent="0.15">
      <c r="A844" t="s">
        <v>72</v>
      </c>
      <c r="B844" t="s">
        <v>11832</v>
      </c>
      <c r="C844" t="s">
        <v>74</v>
      </c>
      <c r="D844" t="s">
        <v>74</v>
      </c>
      <c r="E844" t="s">
        <v>74</v>
      </c>
      <c r="F844" t="s">
        <v>11832</v>
      </c>
      <c r="G844" t="s">
        <v>74</v>
      </c>
      <c r="H844" t="s">
        <v>74</v>
      </c>
      <c r="I844" t="s">
        <v>11833</v>
      </c>
      <c r="J844" t="s">
        <v>3151</v>
      </c>
      <c r="K844" t="s">
        <v>74</v>
      </c>
      <c r="L844" t="s">
        <v>74</v>
      </c>
      <c r="M844" t="s">
        <v>77</v>
      </c>
      <c r="N844" t="s">
        <v>78</v>
      </c>
      <c r="O844" t="s">
        <v>74</v>
      </c>
      <c r="P844" t="s">
        <v>74</v>
      </c>
      <c r="Q844" t="s">
        <v>74</v>
      </c>
      <c r="R844" t="s">
        <v>74</v>
      </c>
      <c r="S844" t="s">
        <v>74</v>
      </c>
      <c r="T844" t="s">
        <v>74</v>
      </c>
      <c r="U844" t="s">
        <v>11834</v>
      </c>
      <c r="V844" t="s">
        <v>11835</v>
      </c>
      <c r="W844" t="s">
        <v>11836</v>
      </c>
      <c r="X844" t="s">
        <v>11837</v>
      </c>
      <c r="Y844" t="s">
        <v>11838</v>
      </c>
      <c r="Z844" t="s">
        <v>11839</v>
      </c>
      <c r="AA844" t="s">
        <v>11840</v>
      </c>
      <c r="AB844" t="s">
        <v>11841</v>
      </c>
      <c r="AC844" t="s">
        <v>74</v>
      </c>
      <c r="AD844" t="s">
        <v>74</v>
      </c>
      <c r="AE844" t="s">
        <v>74</v>
      </c>
      <c r="AF844" t="s">
        <v>74</v>
      </c>
      <c r="AG844">
        <v>67</v>
      </c>
      <c r="AH844">
        <v>37</v>
      </c>
      <c r="AI844">
        <v>43</v>
      </c>
      <c r="AJ844">
        <v>1</v>
      </c>
      <c r="AK844">
        <v>27</v>
      </c>
      <c r="AL844" t="s">
        <v>1651</v>
      </c>
      <c r="AM844" t="s">
        <v>1652</v>
      </c>
      <c r="AN844" t="s">
        <v>2361</v>
      </c>
      <c r="AO844" t="s">
        <v>3160</v>
      </c>
      <c r="AP844" t="s">
        <v>3161</v>
      </c>
      <c r="AQ844" t="s">
        <v>74</v>
      </c>
      <c r="AR844" t="s">
        <v>3162</v>
      </c>
      <c r="AS844" t="s">
        <v>3163</v>
      </c>
      <c r="AT844" t="s">
        <v>11758</v>
      </c>
      <c r="AU844">
        <v>2003</v>
      </c>
      <c r="AV844">
        <v>35</v>
      </c>
      <c r="AW844">
        <v>1</v>
      </c>
      <c r="AX844" t="s">
        <v>74</v>
      </c>
      <c r="AY844" t="s">
        <v>74</v>
      </c>
      <c r="AZ844" t="s">
        <v>74</v>
      </c>
      <c r="BA844" t="s">
        <v>74</v>
      </c>
      <c r="BB844">
        <v>34</v>
      </c>
      <c r="BC844">
        <v>47</v>
      </c>
      <c r="BD844" t="s">
        <v>74</v>
      </c>
      <c r="BE844" t="s">
        <v>11842</v>
      </c>
      <c r="BF844" t="str">
        <f>HYPERLINK("http://dx.doi.org/10.1657/1523-0430(2003)035[0034:BAEAOT]2.0.CO;2","http://dx.doi.org/10.1657/1523-0430(2003)035[0034:BAEAOT]2.0.CO;2")</f>
        <v>http://dx.doi.org/10.1657/1523-0430(2003)035[0034:BAEAOT]2.0.CO;2</v>
      </c>
      <c r="BG844" t="s">
        <v>74</v>
      </c>
      <c r="BH844" t="s">
        <v>74</v>
      </c>
      <c r="BI844">
        <v>14</v>
      </c>
      <c r="BJ844" t="s">
        <v>3165</v>
      </c>
      <c r="BK844" t="s">
        <v>94</v>
      </c>
      <c r="BL844" t="s">
        <v>3166</v>
      </c>
      <c r="BM844" t="s">
        <v>11798</v>
      </c>
      <c r="BN844" t="s">
        <v>74</v>
      </c>
      <c r="BO844" t="s">
        <v>551</v>
      </c>
      <c r="BP844" t="s">
        <v>74</v>
      </c>
      <c r="BQ844" t="s">
        <v>74</v>
      </c>
      <c r="BR844" t="s">
        <v>97</v>
      </c>
      <c r="BS844" t="s">
        <v>11843</v>
      </c>
      <c r="BT844" t="str">
        <f>HYPERLINK("https%3A%2F%2Fwww.webofscience.com%2Fwos%2Fwoscc%2Ffull-record%2FWOS:000181915900005","View Full Record in Web of Science")</f>
        <v>View Full Record in Web of Science</v>
      </c>
    </row>
    <row r="845" spans="1:72" x14ac:dyDescent="0.15">
      <c r="A845" t="s">
        <v>72</v>
      </c>
      <c r="B845" t="s">
        <v>11844</v>
      </c>
      <c r="C845" t="s">
        <v>74</v>
      </c>
      <c r="D845" t="s">
        <v>74</v>
      </c>
      <c r="E845" t="s">
        <v>74</v>
      </c>
      <c r="F845" t="s">
        <v>11844</v>
      </c>
      <c r="G845" t="s">
        <v>74</v>
      </c>
      <c r="H845" t="s">
        <v>74</v>
      </c>
      <c r="I845" t="s">
        <v>11845</v>
      </c>
      <c r="J845" t="s">
        <v>3151</v>
      </c>
      <c r="K845" t="s">
        <v>74</v>
      </c>
      <c r="L845" t="s">
        <v>74</v>
      </c>
      <c r="M845" t="s">
        <v>77</v>
      </c>
      <c r="N845" t="s">
        <v>78</v>
      </c>
      <c r="O845" t="s">
        <v>74</v>
      </c>
      <c r="P845" t="s">
        <v>74</v>
      </c>
      <c r="Q845" t="s">
        <v>74</v>
      </c>
      <c r="R845" t="s">
        <v>74</v>
      </c>
      <c r="S845" t="s">
        <v>74</v>
      </c>
      <c r="T845" t="s">
        <v>74</v>
      </c>
      <c r="U845" t="s">
        <v>11846</v>
      </c>
      <c r="V845" t="s">
        <v>11847</v>
      </c>
      <c r="W845" t="s">
        <v>11848</v>
      </c>
      <c r="X845" t="s">
        <v>11849</v>
      </c>
      <c r="Y845" t="s">
        <v>11850</v>
      </c>
      <c r="Z845" t="s">
        <v>11851</v>
      </c>
      <c r="AA845" t="s">
        <v>11852</v>
      </c>
      <c r="AB845" t="s">
        <v>74</v>
      </c>
      <c r="AC845" t="s">
        <v>74</v>
      </c>
      <c r="AD845" t="s">
        <v>74</v>
      </c>
      <c r="AE845" t="s">
        <v>74</v>
      </c>
      <c r="AF845" t="s">
        <v>74</v>
      </c>
      <c r="AG845">
        <v>56</v>
      </c>
      <c r="AH845">
        <v>27</v>
      </c>
      <c r="AI845">
        <v>29</v>
      </c>
      <c r="AJ845">
        <v>1</v>
      </c>
      <c r="AK845">
        <v>20</v>
      </c>
      <c r="AL845" t="s">
        <v>1651</v>
      </c>
      <c r="AM845" t="s">
        <v>1652</v>
      </c>
      <c r="AN845" t="s">
        <v>2361</v>
      </c>
      <c r="AO845" t="s">
        <v>3160</v>
      </c>
      <c r="AP845" t="s">
        <v>3161</v>
      </c>
      <c r="AQ845" t="s">
        <v>74</v>
      </c>
      <c r="AR845" t="s">
        <v>3162</v>
      </c>
      <c r="AS845" t="s">
        <v>3163</v>
      </c>
      <c r="AT845" t="s">
        <v>11758</v>
      </c>
      <c r="AU845">
        <v>2003</v>
      </c>
      <c r="AV845">
        <v>35</v>
      </c>
      <c r="AW845">
        <v>1</v>
      </c>
      <c r="AX845" t="s">
        <v>74</v>
      </c>
      <c r="AY845" t="s">
        <v>74</v>
      </c>
      <c r="AZ845" t="s">
        <v>74</v>
      </c>
      <c r="BA845" t="s">
        <v>74</v>
      </c>
      <c r="BB845">
        <v>48</v>
      </c>
      <c r="BC845">
        <v>55</v>
      </c>
      <c r="BD845" t="s">
        <v>74</v>
      </c>
      <c r="BE845" t="s">
        <v>11853</v>
      </c>
      <c r="BF845" t="str">
        <f>HYPERLINK("http://dx.doi.org/10.1657/1523-0430(2003)035[0048:EASIOS]2.0.CO;2","http://dx.doi.org/10.1657/1523-0430(2003)035[0048:EASIOS]2.0.CO;2")</f>
        <v>http://dx.doi.org/10.1657/1523-0430(2003)035[0048:EASIOS]2.0.CO;2</v>
      </c>
      <c r="BG845" t="s">
        <v>74</v>
      </c>
      <c r="BH845" t="s">
        <v>74</v>
      </c>
      <c r="BI845">
        <v>8</v>
      </c>
      <c r="BJ845" t="s">
        <v>3165</v>
      </c>
      <c r="BK845" t="s">
        <v>94</v>
      </c>
      <c r="BL845" t="s">
        <v>3166</v>
      </c>
      <c r="BM845" t="s">
        <v>11798</v>
      </c>
      <c r="BN845" t="s">
        <v>74</v>
      </c>
      <c r="BO845" t="s">
        <v>1767</v>
      </c>
      <c r="BP845" t="s">
        <v>74</v>
      </c>
      <c r="BQ845" t="s">
        <v>74</v>
      </c>
      <c r="BR845" t="s">
        <v>97</v>
      </c>
      <c r="BS845" t="s">
        <v>11854</v>
      </c>
      <c r="BT845" t="str">
        <f>HYPERLINK("https%3A%2F%2Fwww.webofscience.com%2Fwos%2Fwoscc%2Ffull-record%2FWOS:000181915900006","View Full Record in Web of Science")</f>
        <v>View Full Record in Web of Science</v>
      </c>
    </row>
    <row r="846" spans="1:72" x14ac:dyDescent="0.15">
      <c r="A846" t="s">
        <v>72</v>
      </c>
      <c r="B846" t="s">
        <v>11855</v>
      </c>
      <c r="C846" t="s">
        <v>74</v>
      </c>
      <c r="D846" t="s">
        <v>74</v>
      </c>
      <c r="E846" t="s">
        <v>74</v>
      </c>
      <c r="F846" t="s">
        <v>11855</v>
      </c>
      <c r="G846" t="s">
        <v>74</v>
      </c>
      <c r="H846" t="s">
        <v>74</v>
      </c>
      <c r="I846" t="s">
        <v>11856</v>
      </c>
      <c r="J846" t="s">
        <v>3151</v>
      </c>
      <c r="K846" t="s">
        <v>74</v>
      </c>
      <c r="L846" t="s">
        <v>74</v>
      </c>
      <c r="M846" t="s">
        <v>77</v>
      </c>
      <c r="N846" t="s">
        <v>78</v>
      </c>
      <c r="O846" t="s">
        <v>74</v>
      </c>
      <c r="P846" t="s">
        <v>74</v>
      </c>
      <c r="Q846" t="s">
        <v>74</v>
      </c>
      <c r="R846" t="s">
        <v>74</v>
      </c>
      <c r="S846" t="s">
        <v>74</v>
      </c>
      <c r="T846" t="s">
        <v>74</v>
      </c>
      <c r="U846" t="s">
        <v>74</v>
      </c>
      <c r="V846" t="s">
        <v>11857</v>
      </c>
      <c r="W846" t="s">
        <v>11858</v>
      </c>
      <c r="X846" t="s">
        <v>11859</v>
      </c>
      <c r="Y846" t="s">
        <v>11860</v>
      </c>
      <c r="Z846" t="s">
        <v>74</v>
      </c>
      <c r="AA846" t="s">
        <v>11861</v>
      </c>
      <c r="AB846" t="s">
        <v>11862</v>
      </c>
      <c r="AC846" t="s">
        <v>74</v>
      </c>
      <c r="AD846" t="s">
        <v>74</v>
      </c>
      <c r="AE846" t="s">
        <v>74</v>
      </c>
      <c r="AF846" t="s">
        <v>74</v>
      </c>
      <c r="AG846">
        <v>17</v>
      </c>
      <c r="AH846">
        <v>20</v>
      </c>
      <c r="AI846">
        <v>25</v>
      </c>
      <c r="AJ846">
        <v>0</v>
      </c>
      <c r="AK846">
        <v>11</v>
      </c>
      <c r="AL846" t="s">
        <v>3185</v>
      </c>
      <c r="AM846" t="s">
        <v>1748</v>
      </c>
      <c r="AN846" t="s">
        <v>3186</v>
      </c>
      <c r="AO846" t="s">
        <v>3160</v>
      </c>
      <c r="AP846" t="s">
        <v>74</v>
      </c>
      <c r="AQ846" t="s">
        <v>74</v>
      </c>
      <c r="AR846" t="s">
        <v>3162</v>
      </c>
      <c r="AS846" t="s">
        <v>3163</v>
      </c>
      <c r="AT846" t="s">
        <v>11758</v>
      </c>
      <c r="AU846">
        <v>2003</v>
      </c>
      <c r="AV846">
        <v>35</v>
      </c>
      <c r="AW846">
        <v>1</v>
      </c>
      <c r="AX846" t="s">
        <v>74</v>
      </c>
      <c r="AY846" t="s">
        <v>74</v>
      </c>
      <c r="AZ846" t="s">
        <v>74</v>
      </c>
      <c r="BA846" t="s">
        <v>74</v>
      </c>
      <c r="BB846">
        <v>56</v>
      </c>
      <c r="BC846">
        <v>66</v>
      </c>
      <c r="BD846" t="s">
        <v>74</v>
      </c>
      <c r="BE846" t="s">
        <v>11863</v>
      </c>
      <c r="BF846" t="str">
        <f>HYPERLINK("http://dx.doi.org/10.1657/1523-0430(2003)035[0056:VACOTN]2.0.CO;2","http://dx.doi.org/10.1657/1523-0430(2003)035[0056:VACOTN]2.0.CO;2")</f>
        <v>http://dx.doi.org/10.1657/1523-0430(2003)035[0056:VACOTN]2.0.CO;2</v>
      </c>
      <c r="BG846" t="s">
        <v>74</v>
      </c>
      <c r="BH846" t="s">
        <v>74</v>
      </c>
      <c r="BI846">
        <v>11</v>
      </c>
      <c r="BJ846" t="s">
        <v>3165</v>
      </c>
      <c r="BK846" t="s">
        <v>94</v>
      </c>
      <c r="BL846" t="s">
        <v>3166</v>
      </c>
      <c r="BM846" t="s">
        <v>11798</v>
      </c>
      <c r="BN846" t="s">
        <v>74</v>
      </c>
      <c r="BO846" t="s">
        <v>1767</v>
      </c>
      <c r="BP846" t="s">
        <v>74</v>
      </c>
      <c r="BQ846" t="s">
        <v>74</v>
      </c>
      <c r="BR846" t="s">
        <v>97</v>
      </c>
      <c r="BS846" t="s">
        <v>11864</v>
      </c>
      <c r="BT846" t="str">
        <f>HYPERLINK("https%3A%2F%2Fwww.webofscience.com%2Fwos%2Fwoscc%2Ffull-record%2FWOS:000181915900007","View Full Record in Web of Science")</f>
        <v>View Full Record in Web of Science</v>
      </c>
    </row>
    <row r="847" spans="1:72" x14ac:dyDescent="0.15">
      <c r="A847" t="s">
        <v>72</v>
      </c>
      <c r="B847" t="s">
        <v>11865</v>
      </c>
      <c r="C847" t="s">
        <v>74</v>
      </c>
      <c r="D847" t="s">
        <v>74</v>
      </c>
      <c r="E847" t="s">
        <v>74</v>
      </c>
      <c r="F847" t="s">
        <v>11865</v>
      </c>
      <c r="G847" t="s">
        <v>74</v>
      </c>
      <c r="H847" t="s">
        <v>74</v>
      </c>
      <c r="I847" t="s">
        <v>11866</v>
      </c>
      <c r="J847" t="s">
        <v>3151</v>
      </c>
      <c r="K847" t="s">
        <v>74</v>
      </c>
      <c r="L847" t="s">
        <v>74</v>
      </c>
      <c r="M847" t="s">
        <v>77</v>
      </c>
      <c r="N847" t="s">
        <v>78</v>
      </c>
      <c r="O847" t="s">
        <v>74</v>
      </c>
      <c r="P847" t="s">
        <v>74</v>
      </c>
      <c r="Q847" t="s">
        <v>74</v>
      </c>
      <c r="R847" t="s">
        <v>74</v>
      </c>
      <c r="S847" t="s">
        <v>74</v>
      </c>
      <c r="T847" t="s">
        <v>74</v>
      </c>
      <c r="U847" t="s">
        <v>11867</v>
      </c>
      <c r="V847" t="s">
        <v>11868</v>
      </c>
      <c r="W847" t="s">
        <v>11869</v>
      </c>
      <c r="X847" t="s">
        <v>11870</v>
      </c>
      <c r="Y847" t="s">
        <v>11871</v>
      </c>
      <c r="Z847" t="s">
        <v>74</v>
      </c>
      <c r="AA847" t="s">
        <v>74</v>
      </c>
      <c r="AB847" t="s">
        <v>11872</v>
      </c>
      <c r="AC847" t="s">
        <v>74</v>
      </c>
      <c r="AD847" t="s">
        <v>74</v>
      </c>
      <c r="AE847" t="s">
        <v>74</v>
      </c>
      <c r="AF847" t="s">
        <v>74</v>
      </c>
      <c r="AG847">
        <v>24</v>
      </c>
      <c r="AH847">
        <v>12</v>
      </c>
      <c r="AI847">
        <v>14</v>
      </c>
      <c r="AJ847">
        <v>0</v>
      </c>
      <c r="AK847">
        <v>6</v>
      </c>
      <c r="AL847" t="s">
        <v>3185</v>
      </c>
      <c r="AM847" t="s">
        <v>1748</v>
      </c>
      <c r="AN847" t="s">
        <v>3186</v>
      </c>
      <c r="AO847" t="s">
        <v>3160</v>
      </c>
      <c r="AP847" t="s">
        <v>74</v>
      </c>
      <c r="AQ847" t="s">
        <v>74</v>
      </c>
      <c r="AR847" t="s">
        <v>3162</v>
      </c>
      <c r="AS847" t="s">
        <v>3163</v>
      </c>
      <c r="AT847" t="s">
        <v>11758</v>
      </c>
      <c r="AU847">
        <v>2003</v>
      </c>
      <c r="AV847">
        <v>35</v>
      </c>
      <c r="AW847">
        <v>1</v>
      </c>
      <c r="AX847" t="s">
        <v>74</v>
      </c>
      <c r="AY847" t="s">
        <v>74</v>
      </c>
      <c r="AZ847" t="s">
        <v>74</v>
      </c>
      <c r="BA847" t="s">
        <v>74</v>
      </c>
      <c r="BB847">
        <v>67</v>
      </c>
      <c r="BC847">
        <v>73</v>
      </c>
      <c r="BD847" t="s">
        <v>74</v>
      </c>
      <c r="BE847" t="s">
        <v>11873</v>
      </c>
      <c r="BF847" t="str">
        <f>HYPERLINK("http://dx.doi.org/10.1657/1523-0430(2003)035[0067:ERTLIA]2.0.CO;2","http://dx.doi.org/10.1657/1523-0430(2003)035[0067:ERTLIA]2.0.CO;2")</f>
        <v>http://dx.doi.org/10.1657/1523-0430(2003)035[0067:ERTLIA]2.0.CO;2</v>
      </c>
      <c r="BG847" t="s">
        <v>74</v>
      </c>
      <c r="BH847" t="s">
        <v>74</v>
      </c>
      <c r="BI847">
        <v>7</v>
      </c>
      <c r="BJ847" t="s">
        <v>3165</v>
      </c>
      <c r="BK847" t="s">
        <v>94</v>
      </c>
      <c r="BL847" t="s">
        <v>3166</v>
      </c>
      <c r="BM847" t="s">
        <v>11798</v>
      </c>
      <c r="BN847" t="s">
        <v>74</v>
      </c>
      <c r="BO847" t="s">
        <v>1767</v>
      </c>
      <c r="BP847" t="s">
        <v>74</v>
      </c>
      <c r="BQ847" t="s">
        <v>74</v>
      </c>
      <c r="BR847" t="s">
        <v>97</v>
      </c>
      <c r="BS847" t="s">
        <v>11874</v>
      </c>
      <c r="BT847" t="str">
        <f>HYPERLINK("https%3A%2F%2Fwww.webofscience.com%2Fwos%2Fwoscc%2Ffull-record%2FWOS:000181915900008","View Full Record in Web of Science")</f>
        <v>View Full Record in Web of Science</v>
      </c>
    </row>
    <row r="848" spans="1:72" x14ac:dyDescent="0.15">
      <c r="A848" t="s">
        <v>72</v>
      </c>
      <c r="B848" t="s">
        <v>11875</v>
      </c>
      <c r="C848" t="s">
        <v>74</v>
      </c>
      <c r="D848" t="s">
        <v>74</v>
      </c>
      <c r="E848" t="s">
        <v>74</v>
      </c>
      <c r="F848" t="s">
        <v>11875</v>
      </c>
      <c r="G848" t="s">
        <v>74</v>
      </c>
      <c r="H848" t="s">
        <v>74</v>
      </c>
      <c r="I848" t="s">
        <v>11876</v>
      </c>
      <c r="J848" t="s">
        <v>3151</v>
      </c>
      <c r="K848" t="s">
        <v>74</v>
      </c>
      <c r="L848" t="s">
        <v>74</v>
      </c>
      <c r="M848" t="s">
        <v>77</v>
      </c>
      <c r="N848" t="s">
        <v>78</v>
      </c>
      <c r="O848" t="s">
        <v>74</v>
      </c>
      <c r="P848" t="s">
        <v>74</v>
      </c>
      <c r="Q848" t="s">
        <v>74</v>
      </c>
      <c r="R848" t="s">
        <v>74</v>
      </c>
      <c r="S848" t="s">
        <v>74</v>
      </c>
      <c r="T848" t="s">
        <v>74</v>
      </c>
      <c r="U848" t="s">
        <v>11877</v>
      </c>
      <c r="V848" t="s">
        <v>11878</v>
      </c>
      <c r="W848" t="s">
        <v>11879</v>
      </c>
      <c r="X848" t="s">
        <v>11880</v>
      </c>
      <c r="Y848" t="s">
        <v>11881</v>
      </c>
      <c r="Z848" t="s">
        <v>74</v>
      </c>
      <c r="AA848" t="s">
        <v>11882</v>
      </c>
      <c r="AB848" t="s">
        <v>74</v>
      </c>
      <c r="AC848" t="s">
        <v>74</v>
      </c>
      <c r="AD848" t="s">
        <v>74</v>
      </c>
      <c r="AE848" t="s">
        <v>74</v>
      </c>
      <c r="AF848" t="s">
        <v>74</v>
      </c>
      <c r="AG848">
        <v>47</v>
      </c>
      <c r="AH848">
        <v>85</v>
      </c>
      <c r="AI848">
        <v>101</v>
      </c>
      <c r="AJ848">
        <v>0</v>
      </c>
      <c r="AK848">
        <v>37</v>
      </c>
      <c r="AL848" t="s">
        <v>1651</v>
      </c>
      <c r="AM848" t="s">
        <v>1652</v>
      </c>
      <c r="AN848" t="s">
        <v>2361</v>
      </c>
      <c r="AO848" t="s">
        <v>3160</v>
      </c>
      <c r="AP848" t="s">
        <v>3161</v>
      </c>
      <c r="AQ848" t="s">
        <v>74</v>
      </c>
      <c r="AR848" t="s">
        <v>3162</v>
      </c>
      <c r="AS848" t="s">
        <v>3163</v>
      </c>
      <c r="AT848" t="s">
        <v>11758</v>
      </c>
      <c r="AU848">
        <v>2003</v>
      </c>
      <c r="AV848">
        <v>35</v>
      </c>
      <c r="AW848">
        <v>1</v>
      </c>
      <c r="AX848" t="s">
        <v>74</v>
      </c>
      <c r="AY848" t="s">
        <v>74</v>
      </c>
      <c r="AZ848" t="s">
        <v>74</v>
      </c>
      <c r="BA848" t="s">
        <v>74</v>
      </c>
      <c r="BB848">
        <v>74</v>
      </c>
      <c r="BC848">
        <v>81</v>
      </c>
      <c r="BD848" t="s">
        <v>74</v>
      </c>
      <c r="BE848" t="s">
        <v>11883</v>
      </c>
      <c r="BF848" t="str">
        <f>HYPERLINK("http://dx.doi.org/10.1657/1523-0430(2003)035[0074:FSOTAA]2.0.CO;2","http://dx.doi.org/10.1657/1523-0430(2003)035[0074:FSOTAA]2.0.CO;2")</f>
        <v>http://dx.doi.org/10.1657/1523-0430(2003)035[0074:FSOTAA]2.0.CO;2</v>
      </c>
      <c r="BG848" t="s">
        <v>74</v>
      </c>
      <c r="BH848" t="s">
        <v>74</v>
      </c>
      <c r="BI848">
        <v>8</v>
      </c>
      <c r="BJ848" t="s">
        <v>3165</v>
      </c>
      <c r="BK848" t="s">
        <v>94</v>
      </c>
      <c r="BL848" t="s">
        <v>3166</v>
      </c>
      <c r="BM848" t="s">
        <v>11798</v>
      </c>
      <c r="BN848" t="s">
        <v>74</v>
      </c>
      <c r="BO848" t="s">
        <v>2139</v>
      </c>
      <c r="BP848" t="s">
        <v>74</v>
      </c>
      <c r="BQ848" t="s">
        <v>74</v>
      </c>
      <c r="BR848" t="s">
        <v>97</v>
      </c>
      <c r="BS848" t="s">
        <v>11884</v>
      </c>
      <c r="BT848" t="str">
        <f>HYPERLINK("https%3A%2F%2Fwww.webofscience.com%2Fwos%2Fwoscc%2Ffull-record%2FWOS:000181915900009","View Full Record in Web of Science")</f>
        <v>View Full Record in Web of Science</v>
      </c>
    </row>
    <row r="849" spans="1:72" x14ac:dyDescent="0.15">
      <c r="A849" t="s">
        <v>72</v>
      </c>
      <c r="B849" t="s">
        <v>11885</v>
      </c>
      <c r="C849" t="s">
        <v>74</v>
      </c>
      <c r="D849" t="s">
        <v>74</v>
      </c>
      <c r="E849" t="s">
        <v>74</v>
      </c>
      <c r="F849" t="s">
        <v>11885</v>
      </c>
      <c r="G849" t="s">
        <v>74</v>
      </c>
      <c r="H849" t="s">
        <v>74</v>
      </c>
      <c r="I849" t="s">
        <v>11886</v>
      </c>
      <c r="J849" t="s">
        <v>3151</v>
      </c>
      <c r="K849" t="s">
        <v>74</v>
      </c>
      <c r="L849" t="s">
        <v>74</v>
      </c>
      <c r="M849" t="s">
        <v>77</v>
      </c>
      <c r="N849" t="s">
        <v>78</v>
      </c>
      <c r="O849" t="s">
        <v>74</v>
      </c>
      <c r="P849" t="s">
        <v>74</v>
      </c>
      <c r="Q849" t="s">
        <v>74</v>
      </c>
      <c r="R849" t="s">
        <v>74</v>
      </c>
      <c r="S849" t="s">
        <v>74</v>
      </c>
      <c r="T849" t="s">
        <v>74</v>
      </c>
      <c r="U849" t="s">
        <v>74</v>
      </c>
      <c r="V849" t="s">
        <v>11887</v>
      </c>
      <c r="W849" t="s">
        <v>11888</v>
      </c>
      <c r="X849" t="s">
        <v>10987</v>
      </c>
      <c r="Y849" t="s">
        <v>11889</v>
      </c>
      <c r="Z849" t="s">
        <v>74</v>
      </c>
      <c r="AA849" t="s">
        <v>74</v>
      </c>
      <c r="AB849" t="s">
        <v>74</v>
      </c>
      <c r="AC849" t="s">
        <v>74</v>
      </c>
      <c r="AD849" t="s">
        <v>74</v>
      </c>
      <c r="AE849" t="s">
        <v>74</v>
      </c>
      <c r="AF849" t="s">
        <v>74</v>
      </c>
      <c r="AG849">
        <v>15</v>
      </c>
      <c r="AH849">
        <v>29</v>
      </c>
      <c r="AI849">
        <v>30</v>
      </c>
      <c r="AJ849">
        <v>0</v>
      </c>
      <c r="AK849">
        <v>12</v>
      </c>
      <c r="AL849" t="s">
        <v>3185</v>
      </c>
      <c r="AM849" t="s">
        <v>1748</v>
      </c>
      <c r="AN849" t="s">
        <v>3186</v>
      </c>
      <c r="AO849" t="s">
        <v>3160</v>
      </c>
      <c r="AP849" t="s">
        <v>74</v>
      </c>
      <c r="AQ849" t="s">
        <v>74</v>
      </c>
      <c r="AR849" t="s">
        <v>3162</v>
      </c>
      <c r="AS849" t="s">
        <v>3163</v>
      </c>
      <c r="AT849" t="s">
        <v>11758</v>
      </c>
      <c r="AU849">
        <v>2003</v>
      </c>
      <c r="AV849">
        <v>35</v>
      </c>
      <c r="AW849">
        <v>1</v>
      </c>
      <c r="AX849" t="s">
        <v>74</v>
      </c>
      <c r="AY849" t="s">
        <v>74</v>
      </c>
      <c r="AZ849" t="s">
        <v>74</v>
      </c>
      <c r="BA849" t="s">
        <v>74</v>
      </c>
      <c r="BB849">
        <v>82</v>
      </c>
      <c r="BC849">
        <v>90</v>
      </c>
      <c r="BD849" t="s">
        <v>74</v>
      </c>
      <c r="BE849" t="s">
        <v>11890</v>
      </c>
      <c r="BF849" t="str">
        <f>HYPERLINK("http://dx.doi.org/10.1657/1523-0430(2003)035[0082:MAFOAI]2.0.CO;2","http://dx.doi.org/10.1657/1523-0430(2003)035[0082:MAFOAI]2.0.CO;2")</f>
        <v>http://dx.doi.org/10.1657/1523-0430(2003)035[0082:MAFOAI]2.0.CO;2</v>
      </c>
      <c r="BG849" t="s">
        <v>74</v>
      </c>
      <c r="BH849" t="s">
        <v>74</v>
      </c>
      <c r="BI849">
        <v>9</v>
      </c>
      <c r="BJ849" t="s">
        <v>3165</v>
      </c>
      <c r="BK849" t="s">
        <v>94</v>
      </c>
      <c r="BL849" t="s">
        <v>3166</v>
      </c>
      <c r="BM849" t="s">
        <v>11798</v>
      </c>
      <c r="BN849" t="s">
        <v>74</v>
      </c>
      <c r="BO849" t="s">
        <v>1767</v>
      </c>
      <c r="BP849" t="s">
        <v>74</v>
      </c>
      <c r="BQ849" t="s">
        <v>74</v>
      </c>
      <c r="BR849" t="s">
        <v>97</v>
      </c>
      <c r="BS849" t="s">
        <v>11891</v>
      </c>
      <c r="BT849" t="str">
        <f>HYPERLINK("https%3A%2F%2Fwww.webofscience.com%2Fwos%2Fwoscc%2Ffull-record%2FWOS:000181915900010","View Full Record in Web of Science")</f>
        <v>View Full Record in Web of Science</v>
      </c>
    </row>
    <row r="850" spans="1:72" x14ac:dyDescent="0.15">
      <c r="A850" t="s">
        <v>72</v>
      </c>
      <c r="B850" t="s">
        <v>11892</v>
      </c>
      <c r="C850" t="s">
        <v>74</v>
      </c>
      <c r="D850" t="s">
        <v>74</v>
      </c>
      <c r="E850" t="s">
        <v>74</v>
      </c>
      <c r="F850" t="s">
        <v>11892</v>
      </c>
      <c r="G850" t="s">
        <v>74</v>
      </c>
      <c r="H850" t="s">
        <v>74</v>
      </c>
      <c r="I850" t="s">
        <v>11893</v>
      </c>
      <c r="J850" t="s">
        <v>3151</v>
      </c>
      <c r="K850" t="s">
        <v>74</v>
      </c>
      <c r="L850" t="s">
        <v>74</v>
      </c>
      <c r="M850" t="s">
        <v>77</v>
      </c>
      <c r="N850" t="s">
        <v>78</v>
      </c>
      <c r="O850" t="s">
        <v>74</v>
      </c>
      <c r="P850" t="s">
        <v>74</v>
      </c>
      <c r="Q850" t="s">
        <v>74</v>
      </c>
      <c r="R850" t="s">
        <v>74</v>
      </c>
      <c r="S850" t="s">
        <v>74</v>
      </c>
      <c r="T850" t="s">
        <v>74</v>
      </c>
      <c r="U850" t="s">
        <v>11894</v>
      </c>
      <c r="V850" t="s">
        <v>11895</v>
      </c>
      <c r="W850" t="s">
        <v>11896</v>
      </c>
      <c r="X850" t="s">
        <v>11897</v>
      </c>
      <c r="Y850" t="s">
        <v>11898</v>
      </c>
      <c r="Z850" t="s">
        <v>5773</v>
      </c>
      <c r="AA850" t="s">
        <v>11899</v>
      </c>
      <c r="AB850" t="s">
        <v>11900</v>
      </c>
      <c r="AC850" t="s">
        <v>74</v>
      </c>
      <c r="AD850" t="s">
        <v>74</v>
      </c>
      <c r="AE850" t="s">
        <v>74</v>
      </c>
      <c r="AF850" t="s">
        <v>74</v>
      </c>
      <c r="AG850">
        <v>43</v>
      </c>
      <c r="AH850">
        <v>81</v>
      </c>
      <c r="AI850">
        <v>92</v>
      </c>
      <c r="AJ850">
        <v>2</v>
      </c>
      <c r="AK850">
        <v>29</v>
      </c>
      <c r="AL850" t="s">
        <v>1651</v>
      </c>
      <c r="AM850" t="s">
        <v>1652</v>
      </c>
      <c r="AN850" t="s">
        <v>2361</v>
      </c>
      <c r="AO850" t="s">
        <v>3160</v>
      </c>
      <c r="AP850" t="s">
        <v>3161</v>
      </c>
      <c r="AQ850" t="s">
        <v>74</v>
      </c>
      <c r="AR850" t="s">
        <v>3162</v>
      </c>
      <c r="AS850" t="s">
        <v>3163</v>
      </c>
      <c r="AT850" t="s">
        <v>11758</v>
      </c>
      <c r="AU850">
        <v>2003</v>
      </c>
      <c r="AV850">
        <v>35</v>
      </c>
      <c r="AW850">
        <v>1</v>
      </c>
      <c r="AX850" t="s">
        <v>74</v>
      </c>
      <c r="AY850" t="s">
        <v>74</v>
      </c>
      <c r="AZ850" t="s">
        <v>74</v>
      </c>
      <c r="BA850" t="s">
        <v>74</v>
      </c>
      <c r="BB850">
        <v>91</v>
      </c>
      <c r="BC850">
        <v>99</v>
      </c>
      <c r="BD850" t="s">
        <v>74</v>
      </c>
      <c r="BE850" t="s">
        <v>11901</v>
      </c>
      <c r="BF850" t="str">
        <f>HYPERLINK("http://dx.doi.org/10.1657/1523-0430(2003)035[0091:SPIOSB]2.0.CO;2","http://dx.doi.org/10.1657/1523-0430(2003)035[0091:SPIOSB]2.0.CO;2")</f>
        <v>http://dx.doi.org/10.1657/1523-0430(2003)035[0091:SPIOSB]2.0.CO;2</v>
      </c>
      <c r="BG850" t="s">
        <v>74</v>
      </c>
      <c r="BH850" t="s">
        <v>74</v>
      </c>
      <c r="BI850">
        <v>9</v>
      </c>
      <c r="BJ850" t="s">
        <v>3165</v>
      </c>
      <c r="BK850" t="s">
        <v>94</v>
      </c>
      <c r="BL850" t="s">
        <v>3166</v>
      </c>
      <c r="BM850" t="s">
        <v>11798</v>
      </c>
      <c r="BN850" t="s">
        <v>74</v>
      </c>
      <c r="BO850" t="s">
        <v>11902</v>
      </c>
      <c r="BP850" t="s">
        <v>74</v>
      </c>
      <c r="BQ850" t="s">
        <v>74</v>
      </c>
      <c r="BR850" t="s">
        <v>97</v>
      </c>
      <c r="BS850" t="s">
        <v>11903</v>
      </c>
      <c r="BT850" t="str">
        <f>HYPERLINK("https%3A%2F%2Fwww.webofscience.com%2Fwos%2Fwoscc%2Ffull-record%2FWOS:000181915900011","View Full Record in Web of Science")</f>
        <v>View Full Record in Web of Science</v>
      </c>
    </row>
    <row r="851" spans="1:72" x14ac:dyDescent="0.15">
      <c r="A851" t="s">
        <v>72</v>
      </c>
      <c r="B851" t="s">
        <v>11904</v>
      </c>
      <c r="C851" t="s">
        <v>74</v>
      </c>
      <c r="D851" t="s">
        <v>74</v>
      </c>
      <c r="E851" t="s">
        <v>74</v>
      </c>
      <c r="F851" t="s">
        <v>11904</v>
      </c>
      <c r="G851" t="s">
        <v>74</v>
      </c>
      <c r="H851" t="s">
        <v>74</v>
      </c>
      <c r="I851" t="s">
        <v>11905</v>
      </c>
      <c r="J851" t="s">
        <v>3151</v>
      </c>
      <c r="K851" t="s">
        <v>74</v>
      </c>
      <c r="L851" t="s">
        <v>74</v>
      </c>
      <c r="M851" t="s">
        <v>77</v>
      </c>
      <c r="N851" t="s">
        <v>78</v>
      </c>
      <c r="O851" t="s">
        <v>74</v>
      </c>
      <c r="P851" t="s">
        <v>74</v>
      </c>
      <c r="Q851" t="s">
        <v>74</v>
      </c>
      <c r="R851" t="s">
        <v>74</v>
      </c>
      <c r="S851" t="s">
        <v>74</v>
      </c>
      <c r="T851" t="s">
        <v>74</v>
      </c>
      <c r="U851" t="s">
        <v>11906</v>
      </c>
      <c r="V851" t="s">
        <v>11907</v>
      </c>
      <c r="W851" t="s">
        <v>11908</v>
      </c>
      <c r="X851" t="s">
        <v>74</v>
      </c>
      <c r="Y851" t="s">
        <v>11909</v>
      </c>
      <c r="Z851" t="s">
        <v>74</v>
      </c>
      <c r="AA851" t="s">
        <v>74</v>
      </c>
      <c r="AB851" t="s">
        <v>74</v>
      </c>
      <c r="AC851" t="s">
        <v>74</v>
      </c>
      <c r="AD851" t="s">
        <v>74</v>
      </c>
      <c r="AE851" t="s">
        <v>74</v>
      </c>
      <c r="AF851" t="s">
        <v>74</v>
      </c>
      <c r="AG851">
        <v>49</v>
      </c>
      <c r="AH851">
        <v>2</v>
      </c>
      <c r="AI851">
        <v>3</v>
      </c>
      <c r="AJ851">
        <v>0</v>
      </c>
      <c r="AK851">
        <v>15</v>
      </c>
      <c r="AL851" t="s">
        <v>3185</v>
      </c>
      <c r="AM851" t="s">
        <v>1748</v>
      </c>
      <c r="AN851" t="s">
        <v>3186</v>
      </c>
      <c r="AO851" t="s">
        <v>3160</v>
      </c>
      <c r="AP851" t="s">
        <v>74</v>
      </c>
      <c r="AQ851" t="s">
        <v>74</v>
      </c>
      <c r="AR851" t="s">
        <v>3162</v>
      </c>
      <c r="AS851" t="s">
        <v>3163</v>
      </c>
      <c r="AT851" t="s">
        <v>11758</v>
      </c>
      <c r="AU851">
        <v>2003</v>
      </c>
      <c r="AV851">
        <v>35</v>
      </c>
      <c r="AW851">
        <v>1</v>
      </c>
      <c r="AX851" t="s">
        <v>74</v>
      </c>
      <c r="AY851" t="s">
        <v>74</v>
      </c>
      <c r="AZ851" t="s">
        <v>74</v>
      </c>
      <c r="BA851" t="s">
        <v>74</v>
      </c>
      <c r="BB851">
        <v>100</v>
      </c>
      <c r="BC851">
        <v>109</v>
      </c>
      <c r="BD851" t="s">
        <v>74</v>
      </c>
      <c r="BE851" t="s">
        <v>11910</v>
      </c>
      <c r="BF851" t="str">
        <f>HYPERLINK("http://dx.doi.org/10.1657/1523-0430(2003)035[0100:TSHART]2.0.CO;2","http://dx.doi.org/10.1657/1523-0430(2003)035[0100:TSHART]2.0.CO;2")</f>
        <v>http://dx.doi.org/10.1657/1523-0430(2003)035[0100:TSHART]2.0.CO;2</v>
      </c>
      <c r="BG851" t="s">
        <v>74</v>
      </c>
      <c r="BH851" t="s">
        <v>74</v>
      </c>
      <c r="BI851">
        <v>10</v>
      </c>
      <c r="BJ851" t="s">
        <v>3165</v>
      </c>
      <c r="BK851" t="s">
        <v>94</v>
      </c>
      <c r="BL851" t="s">
        <v>3166</v>
      </c>
      <c r="BM851" t="s">
        <v>11798</v>
      </c>
      <c r="BN851" t="s">
        <v>74</v>
      </c>
      <c r="BO851" t="s">
        <v>551</v>
      </c>
      <c r="BP851" t="s">
        <v>74</v>
      </c>
      <c r="BQ851" t="s">
        <v>74</v>
      </c>
      <c r="BR851" t="s">
        <v>97</v>
      </c>
      <c r="BS851" t="s">
        <v>11911</v>
      </c>
      <c r="BT851" t="str">
        <f>HYPERLINK("https%3A%2F%2Fwww.webofscience.com%2Fwos%2Fwoscc%2Ffull-record%2FWOS:000181915900012","View Full Record in Web of Science")</f>
        <v>View Full Record in Web of Science</v>
      </c>
    </row>
    <row r="852" spans="1:72" x14ac:dyDescent="0.15">
      <c r="A852" t="s">
        <v>72</v>
      </c>
      <c r="B852" t="s">
        <v>11912</v>
      </c>
      <c r="C852" t="s">
        <v>74</v>
      </c>
      <c r="D852" t="s">
        <v>74</v>
      </c>
      <c r="E852" t="s">
        <v>74</v>
      </c>
      <c r="F852" t="s">
        <v>11912</v>
      </c>
      <c r="G852" t="s">
        <v>74</v>
      </c>
      <c r="H852" t="s">
        <v>74</v>
      </c>
      <c r="I852" t="s">
        <v>11913</v>
      </c>
      <c r="J852" t="s">
        <v>3151</v>
      </c>
      <c r="K852" t="s">
        <v>74</v>
      </c>
      <c r="L852" t="s">
        <v>74</v>
      </c>
      <c r="M852" t="s">
        <v>77</v>
      </c>
      <c r="N852" t="s">
        <v>78</v>
      </c>
      <c r="O852" t="s">
        <v>74</v>
      </c>
      <c r="P852" t="s">
        <v>74</v>
      </c>
      <c r="Q852" t="s">
        <v>74</v>
      </c>
      <c r="R852" t="s">
        <v>74</v>
      </c>
      <c r="S852" t="s">
        <v>74</v>
      </c>
      <c r="T852" t="s">
        <v>74</v>
      </c>
      <c r="U852" t="s">
        <v>11914</v>
      </c>
      <c r="V852" t="s">
        <v>11915</v>
      </c>
      <c r="W852" t="s">
        <v>11916</v>
      </c>
      <c r="X852" t="s">
        <v>11917</v>
      </c>
      <c r="Y852" t="s">
        <v>11918</v>
      </c>
      <c r="Z852" t="s">
        <v>11919</v>
      </c>
      <c r="AA852" t="s">
        <v>11920</v>
      </c>
      <c r="AB852" t="s">
        <v>11921</v>
      </c>
      <c r="AC852" t="s">
        <v>74</v>
      </c>
      <c r="AD852" t="s">
        <v>74</v>
      </c>
      <c r="AE852" t="s">
        <v>74</v>
      </c>
      <c r="AF852" t="s">
        <v>74</v>
      </c>
      <c r="AG852">
        <v>77</v>
      </c>
      <c r="AH852">
        <v>188</v>
      </c>
      <c r="AI852">
        <v>222</v>
      </c>
      <c r="AJ852">
        <v>1</v>
      </c>
      <c r="AK852">
        <v>79</v>
      </c>
      <c r="AL852" t="s">
        <v>1651</v>
      </c>
      <c r="AM852" t="s">
        <v>1652</v>
      </c>
      <c r="AN852" t="s">
        <v>2361</v>
      </c>
      <c r="AO852" t="s">
        <v>3160</v>
      </c>
      <c r="AP852" t="s">
        <v>3161</v>
      </c>
      <c r="AQ852" t="s">
        <v>74</v>
      </c>
      <c r="AR852" t="s">
        <v>3162</v>
      </c>
      <c r="AS852" t="s">
        <v>3163</v>
      </c>
      <c r="AT852" t="s">
        <v>11758</v>
      </c>
      <c r="AU852">
        <v>2003</v>
      </c>
      <c r="AV852">
        <v>35</v>
      </c>
      <c r="AW852">
        <v>1</v>
      </c>
      <c r="AX852" t="s">
        <v>74</v>
      </c>
      <c r="AY852" t="s">
        <v>74</v>
      </c>
      <c r="AZ852" t="s">
        <v>74</v>
      </c>
      <c r="BA852" t="s">
        <v>74</v>
      </c>
      <c r="BB852">
        <v>110</v>
      </c>
      <c r="BC852">
        <v>123</v>
      </c>
      <c r="BD852" t="s">
        <v>74</v>
      </c>
      <c r="BE852" t="s">
        <v>11922</v>
      </c>
      <c r="BF852" t="str">
        <f>HYPERLINK("http://dx.doi.org/10.1657/1523-0430(2003)035[0110:PEFDFR]2.0.CO;2","http://dx.doi.org/10.1657/1523-0430(2003)035[0110:PEFDFR]2.0.CO;2")</f>
        <v>http://dx.doi.org/10.1657/1523-0430(2003)035[0110:PEFDFR]2.0.CO;2</v>
      </c>
      <c r="BG852" t="s">
        <v>74</v>
      </c>
      <c r="BH852" t="s">
        <v>74</v>
      </c>
      <c r="BI852">
        <v>14</v>
      </c>
      <c r="BJ852" t="s">
        <v>3165</v>
      </c>
      <c r="BK852" t="s">
        <v>94</v>
      </c>
      <c r="BL852" t="s">
        <v>3166</v>
      </c>
      <c r="BM852" t="s">
        <v>11798</v>
      </c>
      <c r="BN852" t="s">
        <v>74</v>
      </c>
      <c r="BO852" t="s">
        <v>1767</v>
      </c>
      <c r="BP852" t="s">
        <v>74</v>
      </c>
      <c r="BQ852" t="s">
        <v>74</v>
      </c>
      <c r="BR852" t="s">
        <v>97</v>
      </c>
      <c r="BS852" t="s">
        <v>11923</v>
      </c>
      <c r="BT852" t="str">
        <f>HYPERLINK("https%3A%2F%2Fwww.webofscience.com%2Fwos%2Fwoscc%2Ffull-record%2FWOS:000181915900013","View Full Record in Web of Science")</f>
        <v>View Full Record in Web of Science</v>
      </c>
    </row>
    <row r="853" spans="1:72" x14ac:dyDescent="0.15">
      <c r="A853" t="s">
        <v>72</v>
      </c>
      <c r="B853" t="s">
        <v>11924</v>
      </c>
      <c r="C853" t="s">
        <v>74</v>
      </c>
      <c r="D853" t="s">
        <v>74</v>
      </c>
      <c r="E853" t="s">
        <v>74</v>
      </c>
      <c r="F853" t="s">
        <v>11924</v>
      </c>
      <c r="G853" t="s">
        <v>74</v>
      </c>
      <c r="H853" t="s">
        <v>74</v>
      </c>
      <c r="I853" t="s">
        <v>11925</v>
      </c>
      <c r="J853" t="s">
        <v>3151</v>
      </c>
      <c r="K853" t="s">
        <v>74</v>
      </c>
      <c r="L853" t="s">
        <v>74</v>
      </c>
      <c r="M853" t="s">
        <v>77</v>
      </c>
      <c r="N853" t="s">
        <v>11926</v>
      </c>
      <c r="O853" t="s">
        <v>74</v>
      </c>
      <c r="P853" t="s">
        <v>74</v>
      </c>
      <c r="Q853" t="s">
        <v>74</v>
      </c>
      <c r="R853" t="s">
        <v>74</v>
      </c>
      <c r="S853" t="s">
        <v>74</v>
      </c>
      <c r="T853" t="s">
        <v>74</v>
      </c>
      <c r="U853" t="s">
        <v>74</v>
      </c>
      <c r="V853" t="s">
        <v>74</v>
      </c>
      <c r="W853" t="s">
        <v>11927</v>
      </c>
      <c r="X853" t="s">
        <v>11928</v>
      </c>
      <c r="Y853" t="s">
        <v>11929</v>
      </c>
      <c r="Z853" t="s">
        <v>74</v>
      </c>
      <c r="AA853" t="s">
        <v>74</v>
      </c>
      <c r="AB853" t="s">
        <v>74</v>
      </c>
      <c r="AC853" t="s">
        <v>74</v>
      </c>
      <c r="AD853" t="s">
        <v>74</v>
      </c>
      <c r="AE853" t="s">
        <v>74</v>
      </c>
      <c r="AF853" t="s">
        <v>74</v>
      </c>
      <c r="AG853">
        <v>4</v>
      </c>
      <c r="AH853">
        <v>0</v>
      </c>
      <c r="AI853">
        <v>0</v>
      </c>
      <c r="AJ853">
        <v>0</v>
      </c>
      <c r="AK853">
        <v>1</v>
      </c>
      <c r="AL853" t="s">
        <v>3185</v>
      </c>
      <c r="AM853" t="s">
        <v>1748</v>
      </c>
      <c r="AN853" t="s">
        <v>3186</v>
      </c>
      <c r="AO853" t="s">
        <v>3160</v>
      </c>
      <c r="AP853" t="s">
        <v>74</v>
      </c>
      <c r="AQ853" t="s">
        <v>74</v>
      </c>
      <c r="AR853" t="s">
        <v>3162</v>
      </c>
      <c r="AS853" t="s">
        <v>3163</v>
      </c>
      <c r="AT853" t="s">
        <v>11758</v>
      </c>
      <c r="AU853">
        <v>2003</v>
      </c>
      <c r="AV853">
        <v>35</v>
      </c>
      <c r="AW853">
        <v>1</v>
      </c>
      <c r="AX853" t="s">
        <v>74</v>
      </c>
      <c r="AY853" t="s">
        <v>74</v>
      </c>
      <c r="AZ853" t="s">
        <v>74</v>
      </c>
      <c r="BA853" t="s">
        <v>74</v>
      </c>
      <c r="BB853">
        <v>125</v>
      </c>
      <c r="BC853">
        <v>127</v>
      </c>
      <c r="BD853" t="s">
        <v>74</v>
      </c>
      <c r="BE853" t="s">
        <v>11930</v>
      </c>
      <c r="BF853" t="str">
        <f>HYPERLINK("http://dx.doi.org/10.1657/1523-0430(2003)035[0125:BEWDJ]2.0.CO;2","http://dx.doi.org/10.1657/1523-0430(2003)035[0125:BEWDJ]2.0.CO;2")</f>
        <v>http://dx.doi.org/10.1657/1523-0430(2003)035[0125:BEWDJ]2.0.CO;2</v>
      </c>
      <c r="BG853" t="s">
        <v>74</v>
      </c>
      <c r="BH853" t="s">
        <v>74</v>
      </c>
      <c r="BI853">
        <v>3</v>
      </c>
      <c r="BJ853" t="s">
        <v>3165</v>
      </c>
      <c r="BK853" t="s">
        <v>94</v>
      </c>
      <c r="BL853" t="s">
        <v>3166</v>
      </c>
      <c r="BM853" t="s">
        <v>11798</v>
      </c>
      <c r="BN853" t="s">
        <v>74</v>
      </c>
      <c r="BO853" t="s">
        <v>74</v>
      </c>
      <c r="BP853" t="s">
        <v>74</v>
      </c>
      <c r="BQ853" t="s">
        <v>74</v>
      </c>
      <c r="BR853" t="s">
        <v>97</v>
      </c>
      <c r="BS853" t="s">
        <v>11931</v>
      </c>
      <c r="BT853" t="str">
        <f>HYPERLINK("https%3A%2F%2Fwww.webofscience.com%2Fwos%2Fwoscc%2Ffull-record%2FWOS:000181915900014","View Full Record in Web of Science")</f>
        <v>View Full Record in Web of Science</v>
      </c>
    </row>
    <row r="854" spans="1:72" x14ac:dyDescent="0.15">
      <c r="A854" t="s">
        <v>72</v>
      </c>
      <c r="B854" t="s">
        <v>11932</v>
      </c>
      <c r="C854" t="s">
        <v>74</v>
      </c>
      <c r="D854" t="s">
        <v>74</v>
      </c>
      <c r="E854" t="s">
        <v>74</v>
      </c>
      <c r="F854" t="s">
        <v>11932</v>
      </c>
      <c r="G854" t="s">
        <v>74</v>
      </c>
      <c r="H854" t="s">
        <v>74</v>
      </c>
      <c r="I854" t="s">
        <v>11933</v>
      </c>
      <c r="J854" t="s">
        <v>11934</v>
      </c>
      <c r="K854" t="s">
        <v>74</v>
      </c>
      <c r="L854" t="s">
        <v>74</v>
      </c>
      <c r="M854" t="s">
        <v>77</v>
      </c>
      <c r="N854" t="s">
        <v>78</v>
      </c>
      <c r="O854" t="s">
        <v>74</v>
      </c>
      <c r="P854" t="s">
        <v>74</v>
      </c>
      <c r="Q854" t="s">
        <v>74</v>
      </c>
      <c r="R854" t="s">
        <v>74</v>
      </c>
      <c r="S854" t="s">
        <v>74</v>
      </c>
      <c r="T854" t="s">
        <v>11935</v>
      </c>
      <c r="U854" t="s">
        <v>11936</v>
      </c>
      <c r="V854" t="s">
        <v>11937</v>
      </c>
      <c r="W854" t="s">
        <v>11938</v>
      </c>
      <c r="X854" t="s">
        <v>11939</v>
      </c>
      <c r="Y854" t="s">
        <v>11940</v>
      </c>
      <c r="Z854" t="s">
        <v>11941</v>
      </c>
      <c r="AA854" t="s">
        <v>11942</v>
      </c>
      <c r="AB854" t="s">
        <v>11943</v>
      </c>
      <c r="AC854" t="s">
        <v>74</v>
      </c>
      <c r="AD854" t="s">
        <v>74</v>
      </c>
      <c r="AE854" t="s">
        <v>74</v>
      </c>
      <c r="AF854" t="s">
        <v>74</v>
      </c>
      <c r="AG854">
        <v>23</v>
      </c>
      <c r="AH854">
        <v>92</v>
      </c>
      <c r="AI854">
        <v>96</v>
      </c>
      <c r="AJ854">
        <v>0</v>
      </c>
      <c r="AK854">
        <v>2</v>
      </c>
      <c r="AL854" t="s">
        <v>6694</v>
      </c>
      <c r="AM854" t="s">
        <v>6695</v>
      </c>
      <c r="AN854" t="s">
        <v>6696</v>
      </c>
      <c r="AO854" t="s">
        <v>11944</v>
      </c>
      <c r="AP854" t="s">
        <v>11945</v>
      </c>
      <c r="AQ854" t="s">
        <v>74</v>
      </c>
      <c r="AR854" t="s">
        <v>11946</v>
      </c>
      <c r="AS854" t="s">
        <v>11947</v>
      </c>
      <c r="AT854" t="s">
        <v>11948</v>
      </c>
      <c r="AU854">
        <v>2003</v>
      </c>
      <c r="AV854">
        <v>583</v>
      </c>
      <c r="AW854">
        <v>2</v>
      </c>
      <c r="AX854">
        <v>2</v>
      </c>
      <c r="AY854" t="s">
        <v>74</v>
      </c>
      <c r="AZ854" t="s">
        <v>74</v>
      </c>
      <c r="BA854" t="s">
        <v>74</v>
      </c>
      <c r="BB854" t="s">
        <v>11949</v>
      </c>
      <c r="BC854" t="s">
        <v>11950</v>
      </c>
      <c r="BD854" t="s">
        <v>74</v>
      </c>
      <c r="BE854" t="s">
        <v>11951</v>
      </c>
      <c r="BF854" t="str">
        <f>HYPERLINK("http://dx.doi.org/10.1086/368156","http://dx.doi.org/10.1086/368156")</f>
        <v>http://dx.doi.org/10.1086/368156</v>
      </c>
      <c r="BG854" t="s">
        <v>74</v>
      </c>
      <c r="BH854" t="s">
        <v>74</v>
      </c>
      <c r="BI854">
        <v>4</v>
      </c>
      <c r="BJ854" t="s">
        <v>1333</v>
      </c>
      <c r="BK854" t="s">
        <v>94</v>
      </c>
      <c r="BL854" t="s">
        <v>1333</v>
      </c>
      <c r="BM854" t="s">
        <v>11952</v>
      </c>
      <c r="BN854" t="s">
        <v>74</v>
      </c>
      <c r="BO854" t="s">
        <v>96</v>
      </c>
      <c r="BP854" t="s">
        <v>74</v>
      </c>
      <c r="BQ854" t="s">
        <v>74</v>
      </c>
      <c r="BR854" t="s">
        <v>97</v>
      </c>
      <c r="BS854" t="s">
        <v>11953</v>
      </c>
      <c r="BT854" t="str">
        <f>HYPERLINK("https%3A%2F%2Fwww.webofscience.com%2Fwos%2Fwoscc%2Ffull-record%2FWOS:000180636500009","View Full Record in Web of Science")</f>
        <v>View Full Record in Web of Science</v>
      </c>
    </row>
    <row r="855" spans="1:72" x14ac:dyDescent="0.15">
      <c r="A855" t="s">
        <v>72</v>
      </c>
      <c r="B855" t="s">
        <v>11954</v>
      </c>
      <c r="C855" t="s">
        <v>74</v>
      </c>
      <c r="D855" t="s">
        <v>74</v>
      </c>
      <c r="E855" t="s">
        <v>74</v>
      </c>
      <c r="F855" t="s">
        <v>11954</v>
      </c>
      <c r="G855" t="s">
        <v>74</v>
      </c>
      <c r="H855" t="s">
        <v>74</v>
      </c>
      <c r="I855" t="s">
        <v>11955</v>
      </c>
      <c r="J855" t="s">
        <v>11956</v>
      </c>
      <c r="K855" t="s">
        <v>74</v>
      </c>
      <c r="L855" t="s">
        <v>74</v>
      </c>
      <c r="M855" t="s">
        <v>77</v>
      </c>
      <c r="N855" t="s">
        <v>78</v>
      </c>
      <c r="O855" t="s">
        <v>74</v>
      </c>
      <c r="P855" t="s">
        <v>74</v>
      </c>
      <c r="Q855" t="s">
        <v>74</v>
      </c>
      <c r="R855" t="s">
        <v>74</v>
      </c>
      <c r="S855" t="s">
        <v>74</v>
      </c>
      <c r="T855" t="s">
        <v>11957</v>
      </c>
      <c r="U855" t="s">
        <v>11958</v>
      </c>
      <c r="V855" t="s">
        <v>11959</v>
      </c>
      <c r="W855" t="s">
        <v>11960</v>
      </c>
      <c r="X855" t="s">
        <v>11961</v>
      </c>
      <c r="Y855" t="s">
        <v>11962</v>
      </c>
      <c r="Z855" t="s">
        <v>74</v>
      </c>
      <c r="AA855" t="s">
        <v>74</v>
      </c>
      <c r="AB855" t="s">
        <v>74</v>
      </c>
      <c r="AC855" t="s">
        <v>74</v>
      </c>
      <c r="AD855" t="s">
        <v>74</v>
      </c>
      <c r="AE855" t="s">
        <v>74</v>
      </c>
      <c r="AF855" t="s">
        <v>74</v>
      </c>
      <c r="AG855">
        <v>67</v>
      </c>
      <c r="AH855">
        <v>28</v>
      </c>
      <c r="AI855">
        <v>31</v>
      </c>
      <c r="AJ855">
        <v>0</v>
      </c>
      <c r="AK855">
        <v>11</v>
      </c>
      <c r="AL855" t="s">
        <v>6322</v>
      </c>
      <c r="AM855" t="s">
        <v>6323</v>
      </c>
      <c r="AN855" t="s">
        <v>6324</v>
      </c>
      <c r="AO855" t="s">
        <v>11963</v>
      </c>
      <c r="AP855" t="s">
        <v>74</v>
      </c>
      <c r="AQ855" t="s">
        <v>74</v>
      </c>
      <c r="AR855" t="s">
        <v>11964</v>
      </c>
      <c r="AS855" t="s">
        <v>11965</v>
      </c>
      <c r="AT855" t="s">
        <v>11758</v>
      </c>
      <c r="AU855">
        <v>2003</v>
      </c>
      <c r="AV855">
        <v>50</v>
      </c>
      <c r="AW855">
        <v>1</v>
      </c>
      <c r="AX855" t="s">
        <v>74</v>
      </c>
      <c r="AY855" t="s">
        <v>74</v>
      </c>
      <c r="AZ855" t="s">
        <v>74</v>
      </c>
      <c r="BA855" t="s">
        <v>74</v>
      </c>
      <c r="BB855">
        <v>113</v>
      </c>
      <c r="BC855">
        <v>128</v>
      </c>
      <c r="BD855" t="s">
        <v>74</v>
      </c>
      <c r="BE855" t="s">
        <v>11966</v>
      </c>
      <c r="BF855" t="str">
        <f>HYPERLINK("http://dx.doi.org/10.1046/j.1440-0952.2003.00978.x","http://dx.doi.org/10.1046/j.1440-0952.2003.00978.x")</f>
        <v>http://dx.doi.org/10.1046/j.1440-0952.2003.00978.x</v>
      </c>
      <c r="BG855" t="s">
        <v>74</v>
      </c>
      <c r="BH855" t="s">
        <v>74</v>
      </c>
      <c r="BI855">
        <v>16</v>
      </c>
      <c r="BJ855" t="s">
        <v>548</v>
      </c>
      <c r="BK855" t="s">
        <v>94</v>
      </c>
      <c r="BL855" t="s">
        <v>549</v>
      </c>
      <c r="BM855" t="s">
        <v>11967</v>
      </c>
      <c r="BN855" t="s">
        <v>74</v>
      </c>
      <c r="BO855" t="s">
        <v>74</v>
      </c>
      <c r="BP855" t="s">
        <v>74</v>
      </c>
      <c r="BQ855" t="s">
        <v>74</v>
      </c>
      <c r="BR855" t="s">
        <v>97</v>
      </c>
      <c r="BS855" t="s">
        <v>11968</v>
      </c>
      <c r="BT855" t="str">
        <f>HYPERLINK("https%3A%2F%2Fwww.webofscience.com%2Fwos%2Fwoscc%2Ffull-record%2FWOS:000180754200010","View Full Record in Web of Science")</f>
        <v>View Full Record in Web of Science</v>
      </c>
    </row>
    <row r="856" spans="1:72" x14ac:dyDescent="0.15">
      <c r="A856" t="s">
        <v>72</v>
      </c>
      <c r="B856" t="s">
        <v>11969</v>
      </c>
      <c r="C856" t="s">
        <v>74</v>
      </c>
      <c r="D856" t="s">
        <v>74</v>
      </c>
      <c r="E856" t="s">
        <v>74</v>
      </c>
      <c r="F856" t="s">
        <v>11969</v>
      </c>
      <c r="G856" t="s">
        <v>74</v>
      </c>
      <c r="H856" t="s">
        <v>74</v>
      </c>
      <c r="I856" t="s">
        <v>11970</v>
      </c>
      <c r="J856" t="s">
        <v>11971</v>
      </c>
      <c r="K856" t="s">
        <v>74</v>
      </c>
      <c r="L856" t="s">
        <v>74</v>
      </c>
      <c r="M856" t="s">
        <v>77</v>
      </c>
      <c r="N856" t="s">
        <v>78</v>
      </c>
      <c r="O856" t="s">
        <v>74</v>
      </c>
      <c r="P856" t="s">
        <v>74</v>
      </c>
      <c r="Q856" t="s">
        <v>74</v>
      </c>
      <c r="R856" t="s">
        <v>74</v>
      </c>
      <c r="S856" t="s">
        <v>74</v>
      </c>
      <c r="T856" t="s">
        <v>74</v>
      </c>
      <c r="U856" t="s">
        <v>11972</v>
      </c>
      <c r="V856" t="s">
        <v>11973</v>
      </c>
      <c r="W856" t="s">
        <v>11974</v>
      </c>
      <c r="X856" t="s">
        <v>11975</v>
      </c>
      <c r="Y856" t="s">
        <v>11976</v>
      </c>
      <c r="Z856" t="s">
        <v>11977</v>
      </c>
      <c r="AA856" t="s">
        <v>74</v>
      </c>
      <c r="AB856" t="s">
        <v>74</v>
      </c>
      <c r="AC856" t="s">
        <v>74</v>
      </c>
      <c r="AD856" t="s">
        <v>74</v>
      </c>
      <c r="AE856" t="s">
        <v>74</v>
      </c>
      <c r="AF856" t="s">
        <v>74</v>
      </c>
      <c r="AG856">
        <v>27</v>
      </c>
      <c r="AH856">
        <v>66</v>
      </c>
      <c r="AI856">
        <v>76</v>
      </c>
      <c r="AJ856">
        <v>0</v>
      </c>
      <c r="AK856">
        <v>14</v>
      </c>
      <c r="AL856" t="s">
        <v>9930</v>
      </c>
      <c r="AM856" t="s">
        <v>132</v>
      </c>
      <c r="AN856" t="s">
        <v>9931</v>
      </c>
      <c r="AO856" t="s">
        <v>11978</v>
      </c>
      <c r="AP856" t="s">
        <v>11979</v>
      </c>
      <c r="AQ856" t="s">
        <v>74</v>
      </c>
      <c r="AR856" t="s">
        <v>11980</v>
      </c>
      <c r="AS856" t="s">
        <v>11981</v>
      </c>
      <c r="AT856" t="s">
        <v>11758</v>
      </c>
      <c r="AU856">
        <v>2003</v>
      </c>
      <c r="AV856">
        <v>84</v>
      </c>
      <c r="AW856">
        <v>2</v>
      </c>
      <c r="AX856">
        <v>1</v>
      </c>
      <c r="AY856" t="s">
        <v>74</v>
      </c>
      <c r="AZ856" t="s">
        <v>74</v>
      </c>
      <c r="BA856" t="s">
        <v>74</v>
      </c>
      <c r="BB856">
        <v>1228</v>
      </c>
      <c r="BC856">
        <v>1237</v>
      </c>
      <c r="BD856" t="s">
        <v>74</v>
      </c>
      <c r="BE856" t="s">
        <v>11982</v>
      </c>
      <c r="BF856" t="str">
        <f>HYPERLINK("http://dx.doi.org/10.1016/S0006-3495(03)74938-8","http://dx.doi.org/10.1016/S0006-3495(03)74938-8")</f>
        <v>http://dx.doi.org/10.1016/S0006-3495(03)74938-8</v>
      </c>
      <c r="BG856" t="s">
        <v>74</v>
      </c>
      <c r="BH856" t="s">
        <v>74</v>
      </c>
      <c r="BI856">
        <v>10</v>
      </c>
      <c r="BJ856" t="s">
        <v>11983</v>
      </c>
      <c r="BK856" t="s">
        <v>94</v>
      </c>
      <c r="BL856" t="s">
        <v>11983</v>
      </c>
      <c r="BM856" t="s">
        <v>11984</v>
      </c>
      <c r="BN856">
        <v>12547803</v>
      </c>
      <c r="BO856" t="s">
        <v>11985</v>
      </c>
      <c r="BP856" t="s">
        <v>74</v>
      </c>
      <c r="BQ856" t="s">
        <v>74</v>
      </c>
      <c r="BR856" t="s">
        <v>97</v>
      </c>
      <c r="BS856" t="s">
        <v>11986</v>
      </c>
      <c r="BT856" t="str">
        <f>HYPERLINK("https%3A%2F%2Fwww.webofscience.com%2Fwos%2Fwoscc%2Ffull-record%2FWOS:000183123700047","View Full Record in Web of Science")</f>
        <v>View Full Record in Web of Science</v>
      </c>
    </row>
    <row r="857" spans="1:72" x14ac:dyDescent="0.15">
      <c r="A857" t="s">
        <v>72</v>
      </c>
      <c r="B857" t="s">
        <v>3982</v>
      </c>
      <c r="C857" t="s">
        <v>74</v>
      </c>
      <c r="D857" t="s">
        <v>74</v>
      </c>
      <c r="E857" t="s">
        <v>74</v>
      </c>
      <c r="F857" t="s">
        <v>3982</v>
      </c>
      <c r="G857" t="s">
        <v>74</v>
      </c>
      <c r="H857" t="s">
        <v>74</v>
      </c>
      <c r="I857" t="s">
        <v>11987</v>
      </c>
      <c r="J857" t="s">
        <v>6333</v>
      </c>
      <c r="K857" t="s">
        <v>74</v>
      </c>
      <c r="L857" t="s">
        <v>74</v>
      </c>
      <c r="M857" t="s">
        <v>77</v>
      </c>
      <c r="N857" t="s">
        <v>3984</v>
      </c>
      <c r="O857" t="s">
        <v>74</v>
      </c>
      <c r="P857" t="s">
        <v>74</v>
      </c>
      <c r="Q857" t="s">
        <v>74</v>
      </c>
      <c r="R857" t="s">
        <v>74</v>
      </c>
      <c r="S857" t="s">
        <v>74</v>
      </c>
      <c r="T857" t="s">
        <v>74</v>
      </c>
      <c r="U857" t="s">
        <v>74</v>
      </c>
      <c r="V857" t="s">
        <v>74</v>
      </c>
      <c r="W857" t="s">
        <v>74</v>
      </c>
      <c r="X857" t="s">
        <v>74</v>
      </c>
      <c r="Y857" t="s">
        <v>74</v>
      </c>
      <c r="Z857" t="s">
        <v>74</v>
      </c>
      <c r="AA857" t="s">
        <v>74</v>
      </c>
      <c r="AB857" t="s">
        <v>74</v>
      </c>
      <c r="AC857" t="s">
        <v>74</v>
      </c>
      <c r="AD857" t="s">
        <v>74</v>
      </c>
      <c r="AE857" t="s">
        <v>74</v>
      </c>
      <c r="AF857" t="s">
        <v>74</v>
      </c>
      <c r="AG857">
        <v>0</v>
      </c>
      <c r="AH857">
        <v>0</v>
      </c>
      <c r="AI857">
        <v>0</v>
      </c>
      <c r="AJ857">
        <v>0</v>
      </c>
      <c r="AK857">
        <v>1</v>
      </c>
      <c r="AL857" t="s">
        <v>85</v>
      </c>
      <c r="AM857" t="s">
        <v>86</v>
      </c>
      <c r="AN857" t="s">
        <v>87</v>
      </c>
      <c r="AO857" t="s">
        <v>6338</v>
      </c>
      <c r="AP857" t="s">
        <v>6339</v>
      </c>
      <c r="AQ857" t="s">
        <v>74</v>
      </c>
      <c r="AR857" t="s">
        <v>6340</v>
      </c>
      <c r="AS857" t="s">
        <v>6341</v>
      </c>
      <c r="AT857" t="s">
        <v>11758</v>
      </c>
      <c r="AU857">
        <v>2003</v>
      </c>
      <c r="AV857">
        <v>84</v>
      </c>
      <c r="AW857">
        <v>2</v>
      </c>
      <c r="AX857" t="s">
        <v>74</v>
      </c>
      <c r="AY857" t="s">
        <v>74</v>
      </c>
      <c r="AZ857" t="s">
        <v>74</v>
      </c>
      <c r="BA857" t="s">
        <v>74</v>
      </c>
      <c r="BB857">
        <v>151</v>
      </c>
      <c r="BC857">
        <v>154</v>
      </c>
      <c r="BD857" t="s">
        <v>74</v>
      </c>
      <c r="BE857" t="s">
        <v>74</v>
      </c>
      <c r="BF857" t="s">
        <v>74</v>
      </c>
      <c r="BG857" t="s">
        <v>74</v>
      </c>
      <c r="BH857" t="s">
        <v>74</v>
      </c>
      <c r="BI857">
        <v>4</v>
      </c>
      <c r="BJ857" t="s">
        <v>93</v>
      </c>
      <c r="BK857" t="s">
        <v>94</v>
      </c>
      <c r="BL857" t="s">
        <v>93</v>
      </c>
      <c r="BM857" t="s">
        <v>11988</v>
      </c>
      <c r="BN857" t="s">
        <v>74</v>
      </c>
      <c r="BO857" t="s">
        <v>74</v>
      </c>
      <c r="BP857" t="s">
        <v>74</v>
      </c>
      <c r="BQ857" t="s">
        <v>74</v>
      </c>
      <c r="BR857" t="s">
        <v>97</v>
      </c>
      <c r="BS857" t="s">
        <v>11989</v>
      </c>
      <c r="BT857" t="str">
        <f>HYPERLINK("https%3A%2F%2Fwww.webofscience.com%2Fwos%2Fwoscc%2Ffull-record%2FWOS:000181189000002","View Full Record in Web of Science")</f>
        <v>View Full Record in Web of Science</v>
      </c>
    </row>
    <row r="858" spans="1:72" x14ac:dyDescent="0.15">
      <c r="A858" t="s">
        <v>72</v>
      </c>
      <c r="B858" t="s">
        <v>11990</v>
      </c>
      <c r="C858" t="s">
        <v>74</v>
      </c>
      <c r="D858" t="s">
        <v>74</v>
      </c>
      <c r="E858" t="s">
        <v>74</v>
      </c>
      <c r="F858" t="s">
        <v>11990</v>
      </c>
      <c r="G858" t="s">
        <v>74</v>
      </c>
      <c r="H858" t="s">
        <v>74</v>
      </c>
      <c r="I858" t="s">
        <v>11991</v>
      </c>
      <c r="J858" t="s">
        <v>11992</v>
      </c>
      <c r="K858" t="s">
        <v>74</v>
      </c>
      <c r="L858" t="s">
        <v>74</v>
      </c>
      <c r="M858" t="s">
        <v>77</v>
      </c>
      <c r="N858" t="s">
        <v>78</v>
      </c>
      <c r="O858" t="s">
        <v>74</v>
      </c>
      <c r="P858" t="s">
        <v>74</v>
      </c>
      <c r="Q858" t="s">
        <v>74</v>
      </c>
      <c r="R858" t="s">
        <v>74</v>
      </c>
      <c r="S858" t="s">
        <v>74</v>
      </c>
      <c r="T858" t="s">
        <v>74</v>
      </c>
      <c r="U858" t="s">
        <v>11993</v>
      </c>
      <c r="V858" t="s">
        <v>11994</v>
      </c>
      <c r="W858" t="s">
        <v>11995</v>
      </c>
      <c r="X858" t="s">
        <v>11996</v>
      </c>
      <c r="Y858" t="s">
        <v>11997</v>
      </c>
      <c r="Z858" t="s">
        <v>74</v>
      </c>
      <c r="AA858" t="s">
        <v>74</v>
      </c>
      <c r="AB858" t="s">
        <v>74</v>
      </c>
      <c r="AC858" t="s">
        <v>74</v>
      </c>
      <c r="AD858" t="s">
        <v>74</v>
      </c>
      <c r="AE858" t="s">
        <v>74</v>
      </c>
      <c r="AF858" t="s">
        <v>74</v>
      </c>
      <c r="AG858">
        <v>60</v>
      </c>
      <c r="AH858">
        <v>119</v>
      </c>
      <c r="AI858">
        <v>142</v>
      </c>
      <c r="AJ858">
        <v>0</v>
      </c>
      <c r="AK858">
        <v>9</v>
      </c>
      <c r="AL858" t="s">
        <v>11998</v>
      </c>
      <c r="AM858" t="s">
        <v>11999</v>
      </c>
      <c r="AN858" t="s">
        <v>12000</v>
      </c>
      <c r="AO858" t="s">
        <v>12001</v>
      </c>
      <c r="AP858" t="s">
        <v>74</v>
      </c>
      <c r="AQ858" t="s">
        <v>74</v>
      </c>
      <c r="AR858" t="s">
        <v>12002</v>
      </c>
      <c r="AS858" t="s">
        <v>12003</v>
      </c>
      <c r="AT858" t="s">
        <v>11758</v>
      </c>
      <c r="AU858">
        <v>2003</v>
      </c>
      <c r="AV858">
        <v>93</v>
      </c>
      <c r="AW858">
        <v>1</v>
      </c>
      <c r="AX858" t="s">
        <v>74</v>
      </c>
      <c r="AY858" t="s">
        <v>74</v>
      </c>
      <c r="AZ858" t="s">
        <v>74</v>
      </c>
      <c r="BA858" t="s">
        <v>74</v>
      </c>
      <c r="BB858">
        <v>118</v>
      </c>
      <c r="BC858">
        <v>138</v>
      </c>
      <c r="BD858" t="s">
        <v>74</v>
      </c>
      <c r="BE858" t="s">
        <v>12004</v>
      </c>
      <c r="BF858" t="str">
        <f>HYPERLINK("http://dx.doi.org/10.1785/0120020075","http://dx.doi.org/10.1785/0120020075")</f>
        <v>http://dx.doi.org/10.1785/0120020075</v>
      </c>
      <c r="BG858" t="s">
        <v>74</v>
      </c>
      <c r="BH858" t="s">
        <v>74</v>
      </c>
      <c r="BI858">
        <v>21</v>
      </c>
      <c r="BJ858" t="s">
        <v>176</v>
      </c>
      <c r="BK858" t="s">
        <v>94</v>
      </c>
      <c r="BL858" t="s">
        <v>176</v>
      </c>
      <c r="BM858" t="s">
        <v>12005</v>
      </c>
      <c r="BN858" t="s">
        <v>74</v>
      </c>
      <c r="BO858" t="s">
        <v>74</v>
      </c>
      <c r="BP858" t="s">
        <v>74</v>
      </c>
      <c r="BQ858" t="s">
        <v>74</v>
      </c>
      <c r="BR858" t="s">
        <v>97</v>
      </c>
      <c r="BS858" t="s">
        <v>12006</v>
      </c>
      <c r="BT858" t="str">
        <f>HYPERLINK("https%3A%2F%2Fwww.webofscience.com%2Fwos%2Fwoscc%2Ffull-record%2FWOS:000181971700009","View Full Record in Web of Science")</f>
        <v>View Full Record in Web of Science</v>
      </c>
    </row>
    <row r="859" spans="1:72" x14ac:dyDescent="0.15">
      <c r="A859" t="s">
        <v>72</v>
      </c>
      <c r="B859" t="s">
        <v>12007</v>
      </c>
      <c r="C859" t="s">
        <v>74</v>
      </c>
      <c r="D859" t="s">
        <v>74</v>
      </c>
      <c r="E859" t="s">
        <v>74</v>
      </c>
      <c r="F859" t="s">
        <v>12007</v>
      </c>
      <c r="G859" t="s">
        <v>74</v>
      </c>
      <c r="H859" t="s">
        <v>74</v>
      </c>
      <c r="I859" t="s">
        <v>12008</v>
      </c>
      <c r="J859" t="s">
        <v>12009</v>
      </c>
      <c r="K859" t="s">
        <v>74</v>
      </c>
      <c r="L859" t="s">
        <v>74</v>
      </c>
      <c r="M859" t="s">
        <v>77</v>
      </c>
      <c r="N859" t="s">
        <v>78</v>
      </c>
      <c r="O859" t="s">
        <v>74</v>
      </c>
      <c r="P859" t="s">
        <v>74</v>
      </c>
      <c r="Q859" t="s">
        <v>74</v>
      </c>
      <c r="R859" t="s">
        <v>74</v>
      </c>
      <c r="S859" t="s">
        <v>74</v>
      </c>
      <c r="T859" t="s">
        <v>74</v>
      </c>
      <c r="U859" t="s">
        <v>12010</v>
      </c>
      <c r="V859" t="s">
        <v>12011</v>
      </c>
      <c r="W859" t="s">
        <v>12012</v>
      </c>
      <c r="X859" t="s">
        <v>12013</v>
      </c>
      <c r="Y859" t="s">
        <v>12014</v>
      </c>
      <c r="Z859" t="s">
        <v>74</v>
      </c>
      <c r="AA859" t="s">
        <v>10990</v>
      </c>
      <c r="AB859" t="s">
        <v>10991</v>
      </c>
      <c r="AC859" t="s">
        <v>74</v>
      </c>
      <c r="AD859" t="s">
        <v>74</v>
      </c>
      <c r="AE859" t="s">
        <v>74</v>
      </c>
      <c r="AF859" t="s">
        <v>74</v>
      </c>
      <c r="AG859">
        <v>57</v>
      </c>
      <c r="AH859">
        <v>44</v>
      </c>
      <c r="AI859">
        <v>54</v>
      </c>
      <c r="AJ859">
        <v>1</v>
      </c>
      <c r="AK859">
        <v>8</v>
      </c>
      <c r="AL859" t="s">
        <v>12015</v>
      </c>
      <c r="AM859" t="s">
        <v>1463</v>
      </c>
      <c r="AN859" t="s">
        <v>12016</v>
      </c>
      <c r="AO859" t="s">
        <v>1465</v>
      </c>
      <c r="AP859" t="s">
        <v>74</v>
      </c>
      <c r="AQ859" t="s">
        <v>74</v>
      </c>
      <c r="AR859" t="s">
        <v>1467</v>
      </c>
      <c r="AS859" t="s">
        <v>12017</v>
      </c>
      <c r="AT859" t="s">
        <v>11758</v>
      </c>
      <c r="AU859">
        <v>2003</v>
      </c>
      <c r="AV859">
        <v>81</v>
      </c>
      <c r="AW859">
        <v>2</v>
      </c>
      <c r="AX859" t="s">
        <v>74</v>
      </c>
      <c r="AY859" t="s">
        <v>74</v>
      </c>
      <c r="AZ859" t="s">
        <v>74</v>
      </c>
      <c r="BA859" t="s">
        <v>74</v>
      </c>
      <c r="BB859">
        <v>340</v>
      </c>
      <c r="BC859">
        <v>348</v>
      </c>
      <c r="BD859" t="s">
        <v>74</v>
      </c>
      <c r="BE859" t="s">
        <v>12018</v>
      </c>
      <c r="BF859" t="str">
        <f>HYPERLINK("http://dx.doi.org/10.1139/Z03-008","http://dx.doi.org/10.1139/Z03-008")</f>
        <v>http://dx.doi.org/10.1139/Z03-008</v>
      </c>
      <c r="BG859" t="s">
        <v>74</v>
      </c>
      <c r="BH859" t="s">
        <v>74</v>
      </c>
      <c r="BI859">
        <v>9</v>
      </c>
      <c r="BJ859" t="s">
        <v>258</v>
      </c>
      <c r="BK859" t="s">
        <v>94</v>
      </c>
      <c r="BL859" t="s">
        <v>258</v>
      </c>
      <c r="BM859" t="s">
        <v>12019</v>
      </c>
      <c r="BN859" t="s">
        <v>74</v>
      </c>
      <c r="BO859" t="s">
        <v>74</v>
      </c>
      <c r="BP859" t="s">
        <v>74</v>
      </c>
      <c r="BQ859" t="s">
        <v>74</v>
      </c>
      <c r="BR859" t="s">
        <v>97</v>
      </c>
      <c r="BS859" t="s">
        <v>12020</v>
      </c>
      <c r="BT859" t="str">
        <f>HYPERLINK("https%3A%2F%2Fwww.webofscience.com%2Fwos%2Fwoscc%2Ffull-record%2FWOS:000182080900019","View Full Record in Web of Science")</f>
        <v>View Full Record in Web of Science</v>
      </c>
    </row>
    <row r="860" spans="1:72" x14ac:dyDescent="0.15">
      <c r="A860" t="s">
        <v>72</v>
      </c>
      <c r="B860" t="s">
        <v>12021</v>
      </c>
      <c r="C860" t="s">
        <v>74</v>
      </c>
      <c r="D860" t="s">
        <v>74</v>
      </c>
      <c r="E860" t="s">
        <v>74</v>
      </c>
      <c r="F860" t="s">
        <v>12021</v>
      </c>
      <c r="G860" t="s">
        <v>74</v>
      </c>
      <c r="H860" t="s">
        <v>74</v>
      </c>
      <c r="I860" t="s">
        <v>12022</v>
      </c>
      <c r="J860" t="s">
        <v>8003</v>
      </c>
      <c r="K860" t="s">
        <v>74</v>
      </c>
      <c r="L860" t="s">
        <v>74</v>
      </c>
      <c r="M860" t="s">
        <v>77</v>
      </c>
      <c r="N860" t="s">
        <v>78</v>
      </c>
      <c r="O860" t="s">
        <v>74</v>
      </c>
      <c r="P860" t="s">
        <v>74</v>
      </c>
      <c r="Q860" t="s">
        <v>74</v>
      </c>
      <c r="R860" t="s">
        <v>74</v>
      </c>
      <c r="S860" t="s">
        <v>74</v>
      </c>
      <c r="T860" t="s">
        <v>12023</v>
      </c>
      <c r="U860" t="s">
        <v>12024</v>
      </c>
      <c r="V860" t="s">
        <v>12025</v>
      </c>
      <c r="W860" t="s">
        <v>12026</v>
      </c>
      <c r="X860" t="s">
        <v>3733</v>
      </c>
      <c r="Y860" t="s">
        <v>12027</v>
      </c>
      <c r="Z860" t="s">
        <v>12028</v>
      </c>
      <c r="AA860" t="s">
        <v>12029</v>
      </c>
      <c r="AB860" t="s">
        <v>12030</v>
      </c>
      <c r="AC860" t="s">
        <v>74</v>
      </c>
      <c r="AD860" t="s">
        <v>74</v>
      </c>
      <c r="AE860" t="s">
        <v>74</v>
      </c>
      <c r="AF860" t="s">
        <v>74</v>
      </c>
      <c r="AG860">
        <v>39</v>
      </c>
      <c r="AH860">
        <v>0</v>
      </c>
      <c r="AI860">
        <v>0</v>
      </c>
      <c r="AJ860">
        <v>0</v>
      </c>
      <c r="AK860">
        <v>6</v>
      </c>
      <c r="AL860" t="s">
        <v>1571</v>
      </c>
      <c r="AM860" t="s">
        <v>229</v>
      </c>
      <c r="AN860" t="s">
        <v>1572</v>
      </c>
      <c r="AO860" t="s">
        <v>8012</v>
      </c>
      <c r="AP860" t="s">
        <v>8013</v>
      </c>
      <c r="AQ860" t="s">
        <v>74</v>
      </c>
      <c r="AR860" t="s">
        <v>8014</v>
      </c>
      <c r="AS860" t="s">
        <v>8015</v>
      </c>
      <c r="AT860" t="s">
        <v>11758</v>
      </c>
      <c r="AU860">
        <v>2003</v>
      </c>
      <c r="AV860">
        <v>134</v>
      </c>
      <c r="AW860">
        <v>2</v>
      </c>
      <c r="AX860" t="s">
        <v>74</v>
      </c>
      <c r="AY860" t="s">
        <v>74</v>
      </c>
      <c r="AZ860" t="s">
        <v>74</v>
      </c>
      <c r="BA860" t="s">
        <v>74</v>
      </c>
      <c r="BB860">
        <v>399</v>
      </c>
      <c r="BC860">
        <v>408</v>
      </c>
      <c r="BD860" t="s">
        <v>12031</v>
      </c>
      <c r="BE860" t="s">
        <v>12032</v>
      </c>
      <c r="BF860" t="str">
        <f>HYPERLINK("http://dx.doi.org/10.1016/S1095-6433(02)00293-3","http://dx.doi.org/10.1016/S1095-6433(02)00293-3")</f>
        <v>http://dx.doi.org/10.1016/S1095-6433(02)00293-3</v>
      </c>
      <c r="BG860" t="s">
        <v>74</v>
      </c>
      <c r="BH860" t="s">
        <v>74</v>
      </c>
      <c r="BI860">
        <v>10</v>
      </c>
      <c r="BJ860" t="s">
        <v>8017</v>
      </c>
      <c r="BK860" t="s">
        <v>94</v>
      </c>
      <c r="BL860" t="s">
        <v>8017</v>
      </c>
      <c r="BM860" t="s">
        <v>12033</v>
      </c>
      <c r="BN860">
        <v>12547270</v>
      </c>
      <c r="BO860" t="s">
        <v>74</v>
      </c>
      <c r="BP860" t="s">
        <v>74</v>
      </c>
      <c r="BQ860" t="s">
        <v>74</v>
      </c>
      <c r="BR860" t="s">
        <v>97</v>
      </c>
      <c r="BS860" t="s">
        <v>12034</v>
      </c>
      <c r="BT860" t="str">
        <f>HYPERLINK("https%3A%2F%2Fwww.webofscience.com%2Fwos%2Fwoscc%2Ffull-record%2FWOS:000181525500018","View Full Record in Web of Science")</f>
        <v>View Full Record in Web of Science</v>
      </c>
    </row>
    <row r="861" spans="1:72" x14ac:dyDescent="0.15">
      <c r="A861" t="s">
        <v>72</v>
      </c>
      <c r="B861" t="s">
        <v>12035</v>
      </c>
      <c r="C861" t="s">
        <v>74</v>
      </c>
      <c r="D861" t="s">
        <v>74</v>
      </c>
      <c r="E861" t="s">
        <v>74</v>
      </c>
      <c r="F861" t="s">
        <v>12035</v>
      </c>
      <c r="G861" t="s">
        <v>74</v>
      </c>
      <c r="H861" t="s">
        <v>74</v>
      </c>
      <c r="I861" t="s">
        <v>12036</v>
      </c>
      <c r="J861" t="s">
        <v>8003</v>
      </c>
      <c r="K861" t="s">
        <v>74</v>
      </c>
      <c r="L861" t="s">
        <v>74</v>
      </c>
      <c r="M861" t="s">
        <v>77</v>
      </c>
      <c r="N861" t="s">
        <v>78</v>
      </c>
      <c r="O861" t="s">
        <v>74</v>
      </c>
      <c r="P861" t="s">
        <v>74</v>
      </c>
      <c r="Q861" t="s">
        <v>74</v>
      </c>
      <c r="R861" t="s">
        <v>74</v>
      </c>
      <c r="S861" t="s">
        <v>74</v>
      </c>
      <c r="T861" t="s">
        <v>12037</v>
      </c>
      <c r="U861" t="s">
        <v>12038</v>
      </c>
      <c r="V861" t="s">
        <v>12039</v>
      </c>
      <c r="W861" t="s">
        <v>12040</v>
      </c>
      <c r="X861" t="s">
        <v>12041</v>
      </c>
      <c r="Y861" t="s">
        <v>12042</v>
      </c>
      <c r="Z861" t="s">
        <v>12043</v>
      </c>
      <c r="AA861" t="s">
        <v>74</v>
      </c>
      <c r="AB861" t="s">
        <v>12044</v>
      </c>
      <c r="AC861" t="s">
        <v>74</v>
      </c>
      <c r="AD861" t="s">
        <v>74</v>
      </c>
      <c r="AE861" t="s">
        <v>74</v>
      </c>
      <c r="AF861" t="s">
        <v>74</v>
      </c>
      <c r="AG861">
        <v>40</v>
      </c>
      <c r="AH861">
        <v>30</v>
      </c>
      <c r="AI861">
        <v>32</v>
      </c>
      <c r="AJ861">
        <v>0</v>
      </c>
      <c r="AK861">
        <v>11</v>
      </c>
      <c r="AL861" t="s">
        <v>1571</v>
      </c>
      <c r="AM861" t="s">
        <v>229</v>
      </c>
      <c r="AN861" t="s">
        <v>6371</v>
      </c>
      <c r="AO861" t="s">
        <v>8012</v>
      </c>
      <c r="AP861" t="s">
        <v>8013</v>
      </c>
      <c r="AQ861" t="s">
        <v>74</v>
      </c>
      <c r="AR861" t="s">
        <v>8014</v>
      </c>
      <c r="AS861" t="s">
        <v>8015</v>
      </c>
      <c r="AT861" t="s">
        <v>11758</v>
      </c>
      <c r="AU861">
        <v>2003</v>
      </c>
      <c r="AV861">
        <v>134</v>
      </c>
      <c r="AW861">
        <v>2</v>
      </c>
      <c r="AX861" t="s">
        <v>74</v>
      </c>
      <c r="AY861" t="s">
        <v>74</v>
      </c>
      <c r="AZ861" t="s">
        <v>74</v>
      </c>
      <c r="BA861" t="s">
        <v>74</v>
      </c>
      <c r="BB861">
        <v>471</v>
      </c>
      <c r="BC861">
        <v>480</v>
      </c>
      <c r="BD861" t="s">
        <v>12045</v>
      </c>
      <c r="BE861" t="s">
        <v>12046</v>
      </c>
      <c r="BF861" t="str">
        <f>HYPERLINK("http://dx.doi.org/10.1016/S1095-6433(02)00324-0","http://dx.doi.org/10.1016/S1095-6433(02)00324-0")</f>
        <v>http://dx.doi.org/10.1016/S1095-6433(02)00324-0</v>
      </c>
      <c r="BG861" t="s">
        <v>74</v>
      </c>
      <c r="BH861" t="s">
        <v>74</v>
      </c>
      <c r="BI861">
        <v>10</v>
      </c>
      <c r="BJ861" t="s">
        <v>8017</v>
      </c>
      <c r="BK861" t="s">
        <v>94</v>
      </c>
      <c r="BL861" t="s">
        <v>8017</v>
      </c>
      <c r="BM861" t="s">
        <v>12033</v>
      </c>
      <c r="BN861">
        <v>12547277</v>
      </c>
      <c r="BO861" t="s">
        <v>74</v>
      </c>
      <c r="BP861" t="s">
        <v>74</v>
      </c>
      <c r="BQ861" t="s">
        <v>74</v>
      </c>
      <c r="BR861" t="s">
        <v>97</v>
      </c>
      <c r="BS861" t="s">
        <v>12047</v>
      </c>
      <c r="BT861" t="str">
        <f>HYPERLINK("https%3A%2F%2Fwww.webofscience.com%2Fwos%2Fwoscc%2Ffull-record%2FWOS:000181525500025","View Full Record in Web of Science")</f>
        <v>View Full Record in Web of Science</v>
      </c>
    </row>
    <row r="862" spans="1:72" x14ac:dyDescent="0.15">
      <c r="A862" t="s">
        <v>72</v>
      </c>
      <c r="B862" t="s">
        <v>12048</v>
      </c>
      <c r="C862" t="s">
        <v>74</v>
      </c>
      <c r="D862" t="s">
        <v>74</v>
      </c>
      <c r="E862" t="s">
        <v>74</v>
      </c>
      <c r="F862" t="s">
        <v>12048</v>
      </c>
      <c r="G862" t="s">
        <v>74</v>
      </c>
      <c r="H862" t="s">
        <v>74</v>
      </c>
      <c r="I862" t="s">
        <v>12049</v>
      </c>
      <c r="J862" t="s">
        <v>6361</v>
      </c>
      <c r="K862" t="s">
        <v>74</v>
      </c>
      <c r="L862" t="s">
        <v>74</v>
      </c>
      <c r="M862" t="s">
        <v>77</v>
      </c>
      <c r="N862" t="s">
        <v>78</v>
      </c>
      <c r="O862" t="s">
        <v>74</v>
      </c>
      <c r="P862" t="s">
        <v>74</v>
      </c>
      <c r="Q862" t="s">
        <v>74</v>
      </c>
      <c r="R862" t="s">
        <v>74</v>
      </c>
      <c r="S862" t="s">
        <v>74</v>
      </c>
      <c r="T862" t="s">
        <v>12050</v>
      </c>
      <c r="U862" t="s">
        <v>12051</v>
      </c>
      <c r="V862" t="s">
        <v>12052</v>
      </c>
      <c r="W862" t="s">
        <v>12053</v>
      </c>
      <c r="X862" t="s">
        <v>6835</v>
      </c>
      <c r="Y862" t="s">
        <v>12054</v>
      </c>
      <c r="Z862" t="s">
        <v>74</v>
      </c>
      <c r="AA862" t="s">
        <v>12055</v>
      </c>
      <c r="AB862" t="s">
        <v>5865</v>
      </c>
      <c r="AC862" t="s">
        <v>74</v>
      </c>
      <c r="AD862" t="s">
        <v>74</v>
      </c>
      <c r="AE862" t="s">
        <v>74</v>
      </c>
      <c r="AF862" t="s">
        <v>74</v>
      </c>
      <c r="AG862">
        <v>52</v>
      </c>
      <c r="AH862">
        <v>66</v>
      </c>
      <c r="AI862">
        <v>76</v>
      </c>
      <c r="AJ862">
        <v>0</v>
      </c>
      <c r="AK862">
        <v>27</v>
      </c>
      <c r="AL862" t="s">
        <v>169</v>
      </c>
      <c r="AM862" t="s">
        <v>170</v>
      </c>
      <c r="AN862" t="s">
        <v>171</v>
      </c>
      <c r="AO862" t="s">
        <v>6372</v>
      </c>
      <c r="AP862" t="s">
        <v>74</v>
      </c>
      <c r="AQ862" t="s">
        <v>74</v>
      </c>
      <c r="AR862" t="s">
        <v>6374</v>
      </c>
      <c r="AS862" t="s">
        <v>6375</v>
      </c>
      <c r="AT862" t="s">
        <v>11758</v>
      </c>
      <c r="AU862">
        <v>2003</v>
      </c>
      <c r="AV862">
        <v>134</v>
      </c>
      <c r="AW862">
        <v>2</v>
      </c>
      <c r="AX862" t="s">
        <v>74</v>
      </c>
      <c r="AY862" t="s">
        <v>74</v>
      </c>
      <c r="AZ862" t="s">
        <v>74</v>
      </c>
      <c r="BA862" t="s">
        <v>74</v>
      </c>
      <c r="BB862">
        <v>253</v>
      </c>
      <c r="BC862">
        <v>263</v>
      </c>
      <c r="BD862" t="s">
        <v>12056</v>
      </c>
      <c r="BE862" t="s">
        <v>12057</v>
      </c>
      <c r="BF862" t="str">
        <f>HYPERLINK("http://dx.doi.org/10.1016/S1096-4959(02)00252-X","http://dx.doi.org/10.1016/S1096-4959(02)00252-X")</f>
        <v>http://dx.doi.org/10.1016/S1096-4959(02)00252-X</v>
      </c>
      <c r="BG862" t="s">
        <v>74</v>
      </c>
      <c r="BH862" t="s">
        <v>74</v>
      </c>
      <c r="BI862">
        <v>11</v>
      </c>
      <c r="BJ862" t="s">
        <v>6377</v>
      </c>
      <c r="BK862" t="s">
        <v>94</v>
      </c>
      <c r="BL862" t="s">
        <v>6377</v>
      </c>
      <c r="BM862" t="s">
        <v>12058</v>
      </c>
      <c r="BN862">
        <v>12568803</v>
      </c>
      <c r="BO862" t="s">
        <v>74</v>
      </c>
      <c r="BP862" t="s">
        <v>74</v>
      </c>
      <c r="BQ862" t="s">
        <v>74</v>
      </c>
      <c r="BR862" t="s">
        <v>97</v>
      </c>
      <c r="BS862" t="s">
        <v>12059</v>
      </c>
      <c r="BT862" t="str">
        <f>HYPERLINK("https%3A%2F%2Fwww.webofscience.com%2Fwos%2Fwoscc%2Ffull-record%2FWOS:000181093800006","View Full Record in Web of Science")</f>
        <v>View Full Record in Web of Science</v>
      </c>
    </row>
    <row r="863" spans="1:72" x14ac:dyDescent="0.15">
      <c r="A863" t="s">
        <v>72</v>
      </c>
      <c r="B863" t="s">
        <v>12060</v>
      </c>
      <c r="C863" t="s">
        <v>74</v>
      </c>
      <c r="D863" t="s">
        <v>74</v>
      </c>
      <c r="E863" t="s">
        <v>74</v>
      </c>
      <c r="F863" t="s">
        <v>12060</v>
      </c>
      <c r="G863" t="s">
        <v>74</v>
      </c>
      <c r="H863" t="s">
        <v>74</v>
      </c>
      <c r="I863" t="s">
        <v>12061</v>
      </c>
      <c r="J863" t="s">
        <v>12062</v>
      </c>
      <c r="K863" t="s">
        <v>74</v>
      </c>
      <c r="L863" t="s">
        <v>74</v>
      </c>
      <c r="M863" t="s">
        <v>77</v>
      </c>
      <c r="N863" t="s">
        <v>78</v>
      </c>
      <c r="O863" t="s">
        <v>74</v>
      </c>
      <c r="P863" t="s">
        <v>74</v>
      </c>
      <c r="Q863" t="s">
        <v>74</v>
      </c>
      <c r="R863" t="s">
        <v>74</v>
      </c>
      <c r="S863" t="s">
        <v>74</v>
      </c>
      <c r="T863" t="s">
        <v>12063</v>
      </c>
      <c r="U863" t="s">
        <v>12064</v>
      </c>
      <c r="V863" t="s">
        <v>12065</v>
      </c>
      <c r="W863" t="s">
        <v>12066</v>
      </c>
      <c r="X863" t="s">
        <v>12067</v>
      </c>
      <c r="Y863" t="s">
        <v>12068</v>
      </c>
      <c r="Z863" t="s">
        <v>74</v>
      </c>
      <c r="AA863" t="s">
        <v>74</v>
      </c>
      <c r="AB863" t="s">
        <v>74</v>
      </c>
      <c r="AC863" t="s">
        <v>74</v>
      </c>
      <c r="AD863" t="s">
        <v>74</v>
      </c>
      <c r="AE863" t="s">
        <v>74</v>
      </c>
      <c r="AF863" t="s">
        <v>74</v>
      </c>
      <c r="AG863">
        <v>55</v>
      </c>
      <c r="AH863">
        <v>107</v>
      </c>
      <c r="AI863">
        <v>119</v>
      </c>
      <c r="AJ863">
        <v>0</v>
      </c>
      <c r="AK863">
        <v>32</v>
      </c>
      <c r="AL863" t="s">
        <v>12069</v>
      </c>
      <c r="AM863" t="s">
        <v>5362</v>
      </c>
      <c r="AN863" t="s">
        <v>12070</v>
      </c>
      <c r="AO863" t="s">
        <v>12071</v>
      </c>
      <c r="AP863" t="s">
        <v>74</v>
      </c>
      <c r="AQ863" t="s">
        <v>74</v>
      </c>
      <c r="AR863" t="s">
        <v>12062</v>
      </c>
      <c r="AS863" t="s">
        <v>12072</v>
      </c>
      <c r="AT863" t="s">
        <v>11758</v>
      </c>
      <c r="AU863">
        <v>2003</v>
      </c>
      <c r="AV863">
        <v>105</v>
      </c>
      <c r="AW863">
        <v>1</v>
      </c>
      <c r="AX863" t="s">
        <v>74</v>
      </c>
      <c r="AY863" t="s">
        <v>74</v>
      </c>
      <c r="AZ863" t="s">
        <v>74</v>
      </c>
      <c r="BA863" t="s">
        <v>74</v>
      </c>
      <c r="BB863">
        <v>95</v>
      </c>
      <c r="BC863">
        <v>106</v>
      </c>
      <c r="BD863" t="s">
        <v>74</v>
      </c>
      <c r="BE863" t="s">
        <v>12073</v>
      </c>
      <c r="BF863" t="str">
        <f>HYPERLINK("http://dx.doi.org/10.1650/0010-5422(2003)105[95:SATVOD]2.0.CO;2","http://dx.doi.org/10.1650/0010-5422(2003)105[95:SATVOD]2.0.CO;2")</f>
        <v>http://dx.doi.org/10.1650/0010-5422(2003)105[95:SATVOD]2.0.CO;2</v>
      </c>
      <c r="BG863" t="s">
        <v>74</v>
      </c>
      <c r="BH863" t="s">
        <v>74</v>
      </c>
      <c r="BI863">
        <v>12</v>
      </c>
      <c r="BJ863" t="s">
        <v>2546</v>
      </c>
      <c r="BK863" t="s">
        <v>94</v>
      </c>
      <c r="BL863" t="s">
        <v>258</v>
      </c>
      <c r="BM863" t="s">
        <v>12074</v>
      </c>
      <c r="BN863" t="s">
        <v>74</v>
      </c>
      <c r="BO863" t="s">
        <v>96</v>
      </c>
      <c r="BP863" t="s">
        <v>74</v>
      </c>
      <c r="BQ863" t="s">
        <v>74</v>
      </c>
      <c r="BR863" t="s">
        <v>97</v>
      </c>
      <c r="BS863" t="s">
        <v>12075</v>
      </c>
      <c r="BT863" t="str">
        <f>HYPERLINK("https%3A%2F%2Fwww.webofscience.com%2Fwos%2Fwoscc%2Ffull-record%2FWOS:000181130200009","View Full Record in Web of Science")</f>
        <v>View Full Record in Web of Science</v>
      </c>
    </row>
    <row r="864" spans="1:72" x14ac:dyDescent="0.15">
      <c r="A864" t="s">
        <v>72</v>
      </c>
      <c r="B864" t="s">
        <v>12076</v>
      </c>
      <c r="C864" t="s">
        <v>74</v>
      </c>
      <c r="D864" t="s">
        <v>74</v>
      </c>
      <c r="E864" t="s">
        <v>74</v>
      </c>
      <c r="F864" t="s">
        <v>12076</v>
      </c>
      <c r="G864" t="s">
        <v>74</v>
      </c>
      <c r="H864" t="s">
        <v>74</v>
      </c>
      <c r="I864" t="s">
        <v>12077</v>
      </c>
      <c r="J864" t="s">
        <v>1603</v>
      </c>
      <c r="K864" t="s">
        <v>74</v>
      </c>
      <c r="L864" t="s">
        <v>74</v>
      </c>
      <c r="M864" t="s">
        <v>77</v>
      </c>
      <c r="N864" t="s">
        <v>78</v>
      </c>
      <c r="O864" t="s">
        <v>74</v>
      </c>
      <c r="P864" t="s">
        <v>74</v>
      </c>
      <c r="Q864" t="s">
        <v>74</v>
      </c>
      <c r="R864" t="s">
        <v>74</v>
      </c>
      <c r="S864" t="s">
        <v>74</v>
      </c>
      <c r="T864" t="s">
        <v>12078</v>
      </c>
      <c r="U864" t="s">
        <v>12079</v>
      </c>
      <c r="V864" t="s">
        <v>12080</v>
      </c>
      <c r="W864" t="s">
        <v>12081</v>
      </c>
      <c r="X864" t="s">
        <v>12082</v>
      </c>
      <c r="Y864" t="s">
        <v>74</v>
      </c>
      <c r="Z864" t="s">
        <v>12083</v>
      </c>
      <c r="AA864" t="s">
        <v>12084</v>
      </c>
      <c r="AB864" t="s">
        <v>12085</v>
      </c>
      <c r="AC864" t="s">
        <v>74</v>
      </c>
      <c r="AD864" t="s">
        <v>74</v>
      </c>
      <c r="AE864" t="s">
        <v>74</v>
      </c>
      <c r="AF864" t="s">
        <v>74</v>
      </c>
      <c r="AG864">
        <v>31</v>
      </c>
      <c r="AH864">
        <v>39</v>
      </c>
      <c r="AI864">
        <v>40</v>
      </c>
      <c r="AJ864">
        <v>0</v>
      </c>
      <c r="AK864">
        <v>2</v>
      </c>
      <c r="AL864" t="s">
        <v>169</v>
      </c>
      <c r="AM864" t="s">
        <v>170</v>
      </c>
      <c r="AN864" t="s">
        <v>171</v>
      </c>
      <c r="AO864" t="s">
        <v>1613</v>
      </c>
      <c r="AP864" t="s">
        <v>1614</v>
      </c>
      <c r="AQ864" t="s">
        <v>74</v>
      </c>
      <c r="AR864" t="s">
        <v>1615</v>
      </c>
      <c r="AS864" t="s">
        <v>1616</v>
      </c>
      <c r="AT864" t="s">
        <v>11758</v>
      </c>
      <c r="AU864">
        <v>2003</v>
      </c>
      <c r="AV864">
        <v>50</v>
      </c>
      <c r="AW864">
        <v>2</v>
      </c>
      <c r="AX864" t="s">
        <v>74</v>
      </c>
      <c r="AY864" t="s">
        <v>74</v>
      </c>
      <c r="AZ864" t="s">
        <v>74</v>
      </c>
      <c r="BA864" t="s">
        <v>74</v>
      </c>
      <c r="BB864">
        <v>189</v>
      </c>
      <c r="BC864">
        <v>200</v>
      </c>
      <c r="BD864" t="s">
        <v>74</v>
      </c>
      <c r="BE864" t="s">
        <v>12086</v>
      </c>
      <c r="BF864" t="str">
        <f>HYPERLINK("http://dx.doi.org/10.1016/S0967-0637(02)00163-2","http://dx.doi.org/10.1016/S0967-0637(02)00163-2")</f>
        <v>http://dx.doi.org/10.1016/S0967-0637(02)00163-2</v>
      </c>
      <c r="BG864" t="s">
        <v>74</v>
      </c>
      <c r="BH864" t="s">
        <v>74</v>
      </c>
      <c r="BI864">
        <v>12</v>
      </c>
      <c r="BJ864" t="s">
        <v>678</v>
      </c>
      <c r="BK864" t="s">
        <v>94</v>
      </c>
      <c r="BL864" t="s">
        <v>678</v>
      </c>
      <c r="BM864" t="s">
        <v>12087</v>
      </c>
      <c r="BN864" t="s">
        <v>74</v>
      </c>
      <c r="BO864" t="s">
        <v>74</v>
      </c>
      <c r="BP864" t="s">
        <v>74</v>
      </c>
      <c r="BQ864" t="s">
        <v>74</v>
      </c>
      <c r="BR864" t="s">
        <v>97</v>
      </c>
      <c r="BS864" t="s">
        <v>12088</v>
      </c>
      <c r="BT864" t="str">
        <f>HYPERLINK("https%3A%2F%2Fwww.webofscience.com%2Fwos%2Fwoscc%2Ffull-record%2FWOS:000188458000001","View Full Record in Web of Science")</f>
        <v>View Full Record in Web of Science</v>
      </c>
    </row>
    <row r="865" spans="1:72" x14ac:dyDescent="0.15">
      <c r="A865" t="s">
        <v>72</v>
      </c>
      <c r="B865" t="s">
        <v>12089</v>
      </c>
      <c r="C865" t="s">
        <v>74</v>
      </c>
      <c r="D865" t="s">
        <v>74</v>
      </c>
      <c r="E865" t="s">
        <v>74</v>
      </c>
      <c r="F865" t="s">
        <v>12089</v>
      </c>
      <c r="G865" t="s">
        <v>74</v>
      </c>
      <c r="H865" t="s">
        <v>74</v>
      </c>
      <c r="I865" t="s">
        <v>12090</v>
      </c>
      <c r="J865" t="s">
        <v>1603</v>
      </c>
      <c r="K865" t="s">
        <v>74</v>
      </c>
      <c r="L865" t="s">
        <v>74</v>
      </c>
      <c r="M865" t="s">
        <v>77</v>
      </c>
      <c r="N865" t="s">
        <v>78</v>
      </c>
      <c r="O865" t="s">
        <v>74</v>
      </c>
      <c r="P865" t="s">
        <v>74</v>
      </c>
      <c r="Q865" t="s">
        <v>74</v>
      </c>
      <c r="R865" t="s">
        <v>74</v>
      </c>
      <c r="S865" t="s">
        <v>74</v>
      </c>
      <c r="T865" t="s">
        <v>74</v>
      </c>
      <c r="U865" t="s">
        <v>12091</v>
      </c>
      <c r="V865" t="s">
        <v>12092</v>
      </c>
      <c r="W865" t="s">
        <v>12093</v>
      </c>
      <c r="X865" t="s">
        <v>12094</v>
      </c>
      <c r="Y865" t="s">
        <v>12095</v>
      </c>
      <c r="Z865" t="s">
        <v>12096</v>
      </c>
      <c r="AA865" t="s">
        <v>2811</v>
      </c>
      <c r="AB865" t="s">
        <v>12097</v>
      </c>
      <c r="AC865" t="s">
        <v>74</v>
      </c>
      <c r="AD865" t="s">
        <v>74</v>
      </c>
      <c r="AE865" t="s">
        <v>74</v>
      </c>
      <c r="AF865" t="s">
        <v>74</v>
      </c>
      <c r="AG865">
        <v>34</v>
      </c>
      <c r="AH865">
        <v>13</v>
      </c>
      <c r="AI865">
        <v>17</v>
      </c>
      <c r="AJ865">
        <v>0</v>
      </c>
      <c r="AK865">
        <v>4</v>
      </c>
      <c r="AL865" t="s">
        <v>169</v>
      </c>
      <c r="AM865" t="s">
        <v>170</v>
      </c>
      <c r="AN865" t="s">
        <v>171</v>
      </c>
      <c r="AO865" t="s">
        <v>1613</v>
      </c>
      <c r="AP865" t="s">
        <v>74</v>
      </c>
      <c r="AQ865" t="s">
        <v>74</v>
      </c>
      <c r="AR865" t="s">
        <v>1615</v>
      </c>
      <c r="AS865" t="s">
        <v>1616</v>
      </c>
      <c r="AT865" t="s">
        <v>11758</v>
      </c>
      <c r="AU865">
        <v>2003</v>
      </c>
      <c r="AV865">
        <v>50</v>
      </c>
      <c r="AW865">
        <v>2</v>
      </c>
      <c r="AX865" t="s">
        <v>74</v>
      </c>
      <c r="AY865" t="s">
        <v>74</v>
      </c>
      <c r="AZ865" t="s">
        <v>74</v>
      </c>
      <c r="BA865" t="s">
        <v>74</v>
      </c>
      <c r="BB865">
        <v>201</v>
      </c>
      <c r="BC865">
        <v>220</v>
      </c>
      <c r="BD865" t="s">
        <v>74</v>
      </c>
      <c r="BE865" t="s">
        <v>12098</v>
      </c>
      <c r="BF865" t="str">
        <f>HYPERLINK("http://dx.doi.org/10.1016/S0967-0637(02)00168-1","http://dx.doi.org/10.1016/S0967-0637(02)00168-1")</f>
        <v>http://dx.doi.org/10.1016/S0967-0637(02)00168-1</v>
      </c>
      <c r="BG865" t="s">
        <v>74</v>
      </c>
      <c r="BH865" t="s">
        <v>74</v>
      </c>
      <c r="BI865">
        <v>20</v>
      </c>
      <c r="BJ865" t="s">
        <v>678</v>
      </c>
      <c r="BK865" t="s">
        <v>94</v>
      </c>
      <c r="BL865" t="s">
        <v>678</v>
      </c>
      <c r="BM865" t="s">
        <v>12087</v>
      </c>
      <c r="BN865" t="s">
        <v>74</v>
      </c>
      <c r="BO865" t="s">
        <v>1767</v>
      </c>
      <c r="BP865" t="s">
        <v>74</v>
      </c>
      <c r="BQ865" t="s">
        <v>74</v>
      </c>
      <c r="BR865" t="s">
        <v>97</v>
      </c>
      <c r="BS865" t="s">
        <v>12099</v>
      </c>
      <c r="BT865" t="str">
        <f>HYPERLINK("https%3A%2F%2Fwww.webofscience.com%2Fwos%2Fwoscc%2Ffull-record%2FWOS:000188458000002","View Full Record in Web of Science")</f>
        <v>View Full Record in Web of Science</v>
      </c>
    </row>
    <row r="866" spans="1:72" x14ac:dyDescent="0.15">
      <c r="A866" t="s">
        <v>72</v>
      </c>
      <c r="B866" t="s">
        <v>12100</v>
      </c>
      <c r="C866" t="s">
        <v>74</v>
      </c>
      <c r="D866" t="s">
        <v>74</v>
      </c>
      <c r="E866" t="s">
        <v>74</v>
      </c>
      <c r="F866" t="s">
        <v>12100</v>
      </c>
      <c r="G866" t="s">
        <v>74</v>
      </c>
      <c r="H866" t="s">
        <v>74</v>
      </c>
      <c r="I866" t="s">
        <v>12101</v>
      </c>
      <c r="J866" t="s">
        <v>12102</v>
      </c>
      <c r="K866" t="s">
        <v>74</v>
      </c>
      <c r="L866" t="s">
        <v>74</v>
      </c>
      <c r="M866" t="s">
        <v>77</v>
      </c>
      <c r="N866" t="s">
        <v>78</v>
      </c>
      <c r="O866" t="s">
        <v>74</v>
      </c>
      <c r="P866" t="s">
        <v>74</v>
      </c>
      <c r="Q866" t="s">
        <v>74</v>
      </c>
      <c r="R866" t="s">
        <v>74</v>
      </c>
      <c r="S866" t="s">
        <v>74</v>
      </c>
      <c r="T866" t="s">
        <v>12103</v>
      </c>
      <c r="U866" t="s">
        <v>12104</v>
      </c>
      <c r="V866" t="s">
        <v>12105</v>
      </c>
      <c r="W866" t="s">
        <v>12106</v>
      </c>
      <c r="X866" t="s">
        <v>12107</v>
      </c>
      <c r="Y866" t="s">
        <v>12108</v>
      </c>
      <c r="Z866" t="s">
        <v>74</v>
      </c>
      <c r="AA866" t="s">
        <v>12109</v>
      </c>
      <c r="AB866" t="s">
        <v>12110</v>
      </c>
      <c r="AC866" t="s">
        <v>74</v>
      </c>
      <c r="AD866" t="s">
        <v>74</v>
      </c>
      <c r="AE866" t="s">
        <v>74</v>
      </c>
      <c r="AF866" t="s">
        <v>74</v>
      </c>
      <c r="AG866">
        <v>85</v>
      </c>
      <c r="AH866">
        <v>173</v>
      </c>
      <c r="AI866">
        <v>192</v>
      </c>
      <c r="AJ866">
        <v>5</v>
      </c>
      <c r="AK866">
        <v>142</v>
      </c>
      <c r="AL866" t="s">
        <v>12111</v>
      </c>
      <c r="AM866" t="s">
        <v>540</v>
      </c>
      <c r="AN866" t="s">
        <v>12112</v>
      </c>
      <c r="AO866" t="s">
        <v>12113</v>
      </c>
      <c r="AP866" t="s">
        <v>74</v>
      </c>
      <c r="AQ866" t="s">
        <v>74</v>
      </c>
      <c r="AR866" t="s">
        <v>12114</v>
      </c>
      <c r="AS866" t="s">
        <v>12115</v>
      </c>
      <c r="AT866" t="s">
        <v>11758</v>
      </c>
      <c r="AU866">
        <v>2003</v>
      </c>
      <c r="AV866">
        <v>73</v>
      </c>
      <c r="AW866">
        <v>1</v>
      </c>
      <c r="AX866" t="s">
        <v>74</v>
      </c>
      <c r="AY866" t="s">
        <v>74</v>
      </c>
      <c r="AZ866" t="s">
        <v>74</v>
      </c>
      <c r="BA866" t="s">
        <v>74</v>
      </c>
      <c r="BB866">
        <v>27</v>
      </c>
      <c r="BC866">
        <v>43</v>
      </c>
      <c r="BD866" t="s">
        <v>74</v>
      </c>
      <c r="BE866" t="s">
        <v>12116</v>
      </c>
      <c r="BF866" t="str">
        <f>HYPERLINK("http://dx.doi.org/10.1890/0012-9615(2003)073[0027:EOABDS]2.0.CO;2","http://dx.doi.org/10.1890/0012-9615(2003)073[0027:EOABDS]2.0.CO;2")</f>
        <v>http://dx.doi.org/10.1890/0012-9615(2003)073[0027:EOABDS]2.0.CO;2</v>
      </c>
      <c r="BG866" t="s">
        <v>74</v>
      </c>
      <c r="BH866" t="s">
        <v>74</v>
      </c>
      <c r="BI866">
        <v>17</v>
      </c>
      <c r="BJ866" t="s">
        <v>3535</v>
      </c>
      <c r="BK866" t="s">
        <v>94</v>
      </c>
      <c r="BL866" t="s">
        <v>2512</v>
      </c>
      <c r="BM866" t="s">
        <v>12117</v>
      </c>
      <c r="BN866" t="s">
        <v>74</v>
      </c>
      <c r="BO866" t="s">
        <v>74</v>
      </c>
      <c r="BP866" t="s">
        <v>74</v>
      </c>
      <c r="BQ866" t="s">
        <v>74</v>
      </c>
      <c r="BR866" t="s">
        <v>97</v>
      </c>
      <c r="BS866" t="s">
        <v>12118</v>
      </c>
      <c r="BT866" t="str">
        <f>HYPERLINK("https%3A%2F%2Fwww.webofscience.com%2Fwos%2Fwoscc%2Ffull-record%2FWOS:000181177700002","View Full Record in Web of Science")</f>
        <v>View Full Record in Web of Science</v>
      </c>
    </row>
    <row r="867" spans="1:72" x14ac:dyDescent="0.15">
      <c r="A867" t="s">
        <v>72</v>
      </c>
      <c r="B867" t="s">
        <v>12119</v>
      </c>
      <c r="C867" t="s">
        <v>74</v>
      </c>
      <c r="D867" t="s">
        <v>74</v>
      </c>
      <c r="E867" t="s">
        <v>74</v>
      </c>
      <c r="F867" t="s">
        <v>12119</v>
      </c>
      <c r="G867" t="s">
        <v>74</v>
      </c>
      <c r="H867" t="s">
        <v>74</v>
      </c>
      <c r="I867" t="s">
        <v>12120</v>
      </c>
      <c r="J867" t="s">
        <v>6445</v>
      </c>
      <c r="K867" t="s">
        <v>74</v>
      </c>
      <c r="L867" t="s">
        <v>74</v>
      </c>
      <c r="M867" t="s">
        <v>77</v>
      </c>
      <c r="N867" t="s">
        <v>78</v>
      </c>
      <c r="O867" t="s">
        <v>74</v>
      </c>
      <c r="P867" t="s">
        <v>74</v>
      </c>
      <c r="Q867" t="s">
        <v>74</v>
      </c>
      <c r="R867" t="s">
        <v>74</v>
      </c>
      <c r="S867" t="s">
        <v>74</v>
      </c>
      <c r="T867" t="s">
        <v>12121</v>
      </c>
      <c r="U867" t="s">
        <v>12122</v>
      </c>
      <c r="V867" t="s">
        <v>12123</v>
      </c>
      <c r="W867" t="s">
        <v>12124</v>
      </c>
      <c r="X867" t="s">
        <v>12125</v>
      </c>
      <c r="Y867" t="s">
        <v>12126</v>
      </c>
      <c r="Z867" t="s">
        <v>74</v>
      </c>
      <c r="AA867" t="s">
        <v>12127</v>
      </c>
      <c r="AB867" t="s">
        <v>74</v>
      </c>
      <c r="AC867" t="s">
        <v>74</v>
      </c>
      <c r="AD867" t="s">
        <v>74</v>
      </c>
      <c r="AE867" t="s">
        <v>74</v>
      </c>
      <c r="AF867" t="s">
        <v>74</v>
      </c>
      <c r="AG867">
        <v>31</v>
      </c>
      <c r="AH867">
        <v>428</v>
      </c>
      <c r="AI867">
        <v>511</v>
      </c>
      <c r="AJ867">
        <v>6</v>
      </c>
      <c r="AK867">
        <v>152</v>
      </c>
      <c r="AL867" t="s">
        <v>12111</v>
      </c>
      <c r="AM867" t="s">
        <v>540</v>
      </c>
      <c r="AN867" t="s">
        <v>12112</v>
      </c>
      <c r="AO867" t="s">
        <v>6453</v>
      </c>
      <c r="AP867" t="s">
        <v>74</v>
      </c>
      <c r="AQ867" t="s">
        <v>74</v>
      </c>
      <c r="AR867" t="s">
        <v>6445</v>
      </c>
      <c r="AS867" t="s">
        <v>3535</v>
      </c>
      <c r="AT867" t="s">
        <v>11758</v>
      </c>
      <c r="AU867">
        <v>2003</v>
      </c>
      <c r="AV867">
        <v>84</v>
      </c>
      <c r="AW867">
        <v>2</v>
      </c>
      <c r="AX867" t="s">
        <v>74</v>
      </c>
      <c r="AY867" t="s">
        <v>74</v>
      </c>
      <c r="AZ867" t="s">
        <v>74</v>
      </c>
      <c r="BA867" t="s">
        <v>74</v>
      </c>
      <c r="BB867">
        <v>282</v>
      </c>
      <c r="BC867">
        <v>288</v>
      </c>
      <c r="BD867" t="s">
        <v>74</v>
      </c>
      <c r="BE867" t="s">
        <v>12128</v>
      </c>
      <c r="BF867" t="str">
        <f>HYPERLINK("http://dx.doi.org/10.1890/0012-9658(2003)084[0282:UFPTIT]2.0.CO;2","http://dx.doi.org/10.1890/0012-9658(2003)084[0282:UFPTIT]2.0.CO;2")</f>
        <v>http://dx.doi.org/10.1890/0012-9658(2003)084[0282:UFPTIT]2.0.CO;2</v>
      </c>
      <c r="BG867" t="s">
        <v>74</v>
      </c>
      <c r="BH867" t="s">
        <v>74</v>
      </c>
      <c r="BI867">
        <v>7</v>
      </c>
      <c r="BJ867" t="s">
        <v>3535</v>
      </c>
      <c r="BK867" t="s">
        <v>94</v>
      </c>
      <c r="BL867" t="s">
        <v>2512</v>
      </c>
      <c r="BM867" t="s">
        <v>12129</v>
      </c>
      <c r="BN867" t="s">
        <v>74</v>
      </c>
      <c r="BO867" t="s">
        <v>74</v>
      </c>
      <c r="BP867" t="s">
        <v>74</v>
      </c>
      <c r="BQ867" t="s">
        <v>74</v>
      </c>
      <c r="BR867" t="s">
        <v>97</v>
      </c>
      <c r="BS867" t="s">
        <v>12130</v>
      </c>
      <c r="BT867" t="str">
        <f>HYPERLINK("https%3A%2F%2Fwww.webofscience.com%2Fwos%2Fwoscc%2Ffull-record%2FWOS:000181482600002","View Full Record in Web of Science")</f>
        <v>View Full Record in Web of Science</v>
      </c>
    </row>
    <row r="868" spans="1:72" x14ac:dyDescent="0.15">
      <c r="A868" t="s">
        <v>72</v>
      </c>
      <c r="B868" t="s">
        <v>12131</v>
      </c>
      <c r="C868" t="s">
        <v>74</v>
      </c>
      <c r="D868" t="s">
        <v>74</v>
      </c>
      <c r="E868" t="s">
        <v>74</v>
      </c>
      <c r="F868" t="s">
        <v>12131</v>
      </c>
      <c r="G868" t="s">
        <v>74</v>
      </c>
      <c r="H868" t="s">
        <v>74</v>
      </c>
      <c r="I868" t="s">
        <v>12132</v>
      </c>
      <c r="J868" t="s">
        <v>12133</v>
      </c>
      <c r="K868" t="s">
        <v>74</v>
      </c>
      <c r="L868" t="s">
        <v>74</v>
      </c>
      <c r="M868" t="s">
        <v>77</v>
      </c>
      <c r="N868" t="s">
        <v>159</v>
      </c>
      <c r="O868" t="s">
        <v>12134</v>
      </c>
      <c r="P868" t="s">
        <v>12135</v>
      </c>
      <c r="Q868" t="s">
        <v>12136</v>
      </c>
      <c r="R868" t="s">
        <v>74</v>
      </c>
      <c r="S868" t="s">
        <v>74</v>
      </c>
      <c r="T868" t="s">
        <v>74</v>
      </c>
      <c r="U868" t="s">
        <v>12137</v>
      </c>
      <c r="V868" t="s">
        <v>12138</v>
      </c>
      <c r="W868" t="s">
        <v>12139</v>
      </c>
      <c r="X868" t="s">
        <v>12140</v>
      </c>
      <c r="Y868" t="s">
        <v>12141</v>
      </c>
      <c r="Z868" t="s">
        <v>12142</v>
      </c>
      <c r="AA868" t="s">
        <v>12143</v>
      </c>
      <c r="AB868" t="s">
        <v>12144</v>
      </c>
      <c r="AC868" t="s">
        <v>74</v>
      </c>
      <c r="AD868" t="s">
        <v>74</v>
      </c>
      <c r="AE868" t="s">
        <v>74</v>
      </c>
      <c r="AF868" t="s">
        <v>74</v>
      </c>
      <c r="AG868">
        <v>106</v>
      </c>
      <c r="AH868">
        <v>22</v>
      </c>
      <c r="AI868">
        <v>27</v>
      </c>
      <c r="AJ868">
        <v>0</v>
      </c>
      <c r="AK868">
        <v>16</v>
      </c>
      <c r="AL868" t="s">
        <v>12145</v>
      </c>
      <c r="AM868" t="s">
        <v>12146</v>
      </c>
      <c r="AN868" t="s">
        <v>12147</v>
      </c>
      <c r="AO868" t="s">
        <v>12148</v>
      </c>
      <c r="AP868" t="s">
        <v>74</v>
      </c>
      <c r="AQ868" t="s">
        <v>74</v>
      </c>
      <c r="AR868" t="s">
        <v>12133</v>
      </c>
      <c r="AS868" t="s">
        <v>12149</v>
      </c>
      <c r="AT868" t="s">
        <v>11758</v>
      </c>
      <c r="AU868">
        <v>2003</v>
      </c>
      <c r="AV868">
        <v>26</v>
      </c>
      <c r="AW868">
        <v>1</v>
      </c>
      <c r="AX868" t="s">
        <v>74</v>
      </c>
      <c r="AY868" t="s">
        <v>74</v>
      </c>
      <c r="AZ868" t="s">
        <v>74</v>
      </c>
      <c r="BA868" t="s">
        <v>74</v>
      </c>
      <c r="BB868">
        <v>30</v>
      </c>
      <c r="BC868">
        <v>39</v>
      </c>
      <c r="BD868" t="s">
        <v>74</v>
      </c>
      <c r="BE868" t="s">
        <v>12150</v>
      </c>
      <c r="BF868" t="str">
        <f>HYPERLINK("http://dx.doi.org/10.1007/BF02691691","http://dx.doi.org/10.1007/BF02691691")</f>
        <v>http://dx.doi.org/10.1007/BF02691691</v>
      </c>
      <c r="BG868" t="s">
        <v>74</v>
      </c>
      <c r="BH868" t="s">
        <v>74</v>
      </c>
      <c r="BI868">
        <v>10</v>
      </c>
      <c r="BJ868" t="s">
        <v>2238</v>
      </c>
      <c r="BK868" t="s">
        <v>177</v>
      </c>
      <c r="BL868" t="s">
        <v>486</v>
      </c>
      <c r="BM868" t="s">
        <v>12151</v>
      </c>
      <c r="BN868" t="s">
        <v>74</v>
      </c>
      <c r="BO868" t="s">
        <v>74</v>
      </c>
      <c r="BP868" t="s">
        <v>74</v>
      </c>
      <c r="BQ868" t="s">
        <v>74</v>
      </c>
      <c r="BR868" t="s">
        <v>97</v>
      </c>
      <c r="BS868" t="s">
        <v>12152</v>
      </c>
      <c r="BT868" t="str">
        <f>HYPERLINK("https%3A%2F%2Fwww.webofscience.com%2Fwos%2Fwoscc%2Ffull-record%2FWOS:000181576900004","View Full Record in Web of Science")</f>
        <v>View Full Record in Web of Science</v>
      </c>
    </row>
    <row r="869" spans="1:72" x14ac:dyDescent="0.15">
      <c r="A869" t="s">
        <v>72</v>
      </c>
      <c r="B869" t="s">
        <v>12153</v>
      </c>
      <c r="C869" t="s">
        <v>74</v>
      </c>
      <c r="D869" t="s">
        <v>74</v>
      </c>
      <c r="E869" t="s">
        <v>74</v>
      </c>
      <c r="F869" t="s">
        <v>12153</v>
      </c>
      <c r="G869" t="s">
        <v>74</v>
      </c>
      <c r="H869" t="s">
        <v>74</v>
      </c>
      <c r="I869" t="s">
        <v>12154</v>
      </c>
      <c r="J869" t="s">
        <v>3469</v>
      </c>
      <c r="K869" t="s">
        <v>74</v>
      </c>
      <c r="L869" t="s">
        <v>74</v>
      </c>
      <c r="M869" t="s">
        <v>77</v>
      </c>
      <c r="N869" t="s">
        <v>78</v>
      </c>
      <c r="O869" t="s">
        <v>74</v>
      </c>
      <c r="P869" t="s">
        <v>74</v>
      </c>
      <c r="Q869" t="s">
        <v>74</v>
      </c>
      <c r="R869" t="s">
        <v>74</v>
      </c>
      <c r="S869" t="s">
        <v>74</v>
      </c>
      <c r="T869" t="s">
        <v>12155</v>
      </c>
      <c r="U869" t="s">
        <v>12156</v>
      </c>
      <c r="V869" t="s">
        <v>12157</v>
      </c>
      <c r="W869" t="s">
        <v>12158</v>
      </c>
      <c r="X869" t="s">
        <v>12159</v>
      </c>
      <c r="Y869" t="s">
        <v>12160</v>
      </c>
      <c r="Z869" t="s">
        <v>74</v>
      </c>
      <c r="AA869" t="s">
        <v>12161</v>
      </c>
      <c r="AB869" t="s">
        <v>74</v>
      </c>
      <c r="AC869" t="s">
        <v>74</v>
      </c>
      <c r="AD869" t="s">
        <v>74</v>
      </c>
      <c r="AE869" t="s">
        <v>74</v>
      </c>
      <c r="AF869" t="s">
        <v>74</v>
      </c>
      <c r="AG869">
        <v>69</v>
      </c>
      <c r="AH869">
        <v>129</v>
      </c>
      <c r="AI869">
        <v>137</v>
      </c>
      <c r="AJ869">
        <v>0</v>
      </c>
      <c r="AK869">
        <v>23</v>
      </c>
      <c r="AL869" t="s">
        <v>12162</v>
      </c>
      <c r="AM869" t="s">
        <v>5362</v>
      </c>
      <c r="AN869" t="s">
        <v>12163</v>
      </c>
      <c r="AO869" t="s">
        <v>3479</v>
      </c>
      <c r="AP869" t="s">
        <v>74</v>
      </c>
      <c r="AQ869" t="s">
        <v>74</v>
      </c>
      <c r="AR869" t="s">
        <v>3469</v>
      </c>
      <c r="AS869" t="s">
        <v>3481</v>
      </c>
      <c r="AT869" t="s">
        <v>11758</v>
      </c>
      <c r="AU869">
        <v>2003</v>
      </c>
      <c r="AV869">
        <v>57</v>
      </c>
      <c r="AW869">
        <v>2</v>
      </c>
      <c r="AX869" t="s">
        <v>74</v>
      </c>
      <c r="AY869" t="s">
        <v>74</v>
      </c>
      <c r="AZ869" t="s">
        <v>74</v>
      </c>
      <c r="BA869" t="s">
        <v>74</v>
      </c>
      <c r="BB869">
        <v>205</v>
      </c>
      <c r="BC869">
        <v>215</v>
      </c>
      <c r="BD869" t="s">
        <v>74</v>
      </c>
      <c r="BE869" t="s">
        <v>74</v>
      </c>
      <c r="BF869" t="s">
        <v>74</v>
      </c>
      <c r="BG869" t="s">
        <v>74</v>
      </c>
      <c r="BH869" t="s">
        <v>74</v>
      </c>
      <c r="BI869">
        <v>11</v>
      </c>
      <c r="BJ869" t="s">
        <v>3482</v>
      </c>
      <c r="BK869" t="s">
        <v>94</v>
      </c>
      <c r="BL869" t="s">
        <v>3483</v>
      </c>
      <c r="BM869" t="s">
        <v>12164</v>
      </c>
      <c r="BN869">
        <v>12683518</v>
      </c>
      <c r="BO869" t="s">
        <v>74</v>
      </c>
      <c r="BP869" t="s">
        <v>74</v>
      </c>
      <c r="BQ869" t="s">
        <v>74</v>
      </c>
      <c r="BR869" t="s">
        <v>97</v>
      </c>
      <c r="BS869" t="s">
        <v>12165</v>
      </c>
      <c r="BT869" t="str">
        <f>HYPERLINK("https%3A%2F%2Fwww.webofscience.com%2Fwos%2Fwoscc%2Ffull-record%2FWOS:000181584200001","View Full Record in Web of Science")</f>
        <v>View Full Record in Web of Science</v>
      </c>
    </row>
    <row r="870" spans="1:72" x14ac:dyDescent="0.15">
      <c r="A870" t="s">
        <v>72</v>
      </c>
      <c r="B870" t="s">
        <v>12166</v>
      </c>
      <c r="C870" t="s">
        <v>74</v>
      </c>
      <c r="D870" t="s">
        <v>74</v>
      </c>
      <c r="E870" t="s">
        <v>74</v>
      </c>
      <c r="F870" t="s">
        <v>12166</v>
      </c>
      <c r="G870" t="s">
        <v>74</v>
      </c>
      <c r="H870" t="s">
        <v>74</v>
      </c>
      <c r="I870" t="s">
        <v>12167</v>
      </c>
      <c r="J870" t="s">
        <v>6460</v>
      </c>
      <c r="K870" t="s">
        <v>74</v>
      </c>
      <c r="L870" t="s">
        <v>74</v>
      </c>
      <c r="M870" t="s">
        <v>77</v>
      </c>
      <c r="N870" t="s">
        <v>78</v>
      </c>
      <c r="O870" t="s">
        <v>74</v>
      </c>
      <c r="P870" t="s">
        <v>74</v>
      </c>
      <c r="Q870" t="s">
        <v>74</v>
      </c>
      <c r="R870" t="s">
        <v>74</v>
      </c>
      <c r="S870" t="s">
        <v>74</v>
      </c>
      <c r="T870" t="s">
        <v>12168</v>
      </c>
      <c r="U870" t="s">
        <v>12169</v>
      </c>
      <c r="V870" t="s">
        <v>12170</v>
      </c>
      <c r="W870" t="s">
        <v>12171</v>
      </c>
      <c r="X870" t="s">
        <v>12172</v>
      </c>
      <c r="Y870" t="s">
        <v>12173</v>
      </c>
      <c r="Z870" t="s">
        <v>74</v>
      </c>
      <c r="AA870" t="s">
        <v>12174</v>
      </c>
      <c r="AB870" t="s">
        <v>12175</v>
      </c>
      <c r="AC870" t="s">
        <v>74</v>
      </c>
      <c r="AD870" t="s">
        <v>74</v>
      </c>
      <c r="AE870" t="s">
        <v>74</v>
      </c>
      <c r="AF870" t="s">
        <v>74</v>
      </c>
      <c r="AG870">
        <v>39</v>
      </c>
      <c r="AH870">
        <v>33</v>
      </c>
      <c r="AI870">
        <v>37</v>
      </c>
      <c r="AJ870">
        <v>0</v>
      </c>
      <c r="AK870">
        <v>4</v>
      </c>
      <c r="AL870" t="s">
        <v>6467</v>
      </c>
      <c r="AM870" t="s">
        <v>520</v>
      </c>
      <c r="AN870" t="s">
        <v>6468</v>
      </c>
      <c r="AO870" t="s">
        <v>6469</v>
      </c>
      <c r="AP870" t="s">
        <v>74</v>
      </c>
      <c r="AQ870" t="s">
        <v>74</v>
      </c>
      <c r="AR870" t="s">
        <v>6460</v>
      </c>
      <c r="AS870" t="s">
        <v>6470</v>
      </c>
      <c r="AT870" t="s">
        <v>11758</v>
      </c>
      <c r="AU870">
        <v>2003</v>
      </c>
      <c r="AV870">
        <v>7</v>
      </c>
      <c r="AW870">
        <v>1</v>
      </c>
      <c r="AX870" t="s">
        <v>74</v>
      </c>
      <c r="AY870" t="s">
        <v>74</v>
      </c>
      <c r="AZ870" t="s">
        <v>74</v>
      </c>
      <c r="BA870" t="s">
        <v>74</v>
      </c>
      <c r="BB870">
        <v>17</v>
      </c>
      <c r="BC870">
        <v>28</v>
      </c>
      <c r="BD870" t="s">
        <v>74</v>
      </c>
      <c r="BE870" t="s">
        <v>12176</v>
      </c>
      <c r="BF870" t="str">
        <f>HYPERLINK("http://dx.doi.org/10.1007/s00792-002-0291-6","http://dx.doi.org/10.1007/s00792-002-0291-6")</f>
        <v>http://dx.doi.org/10.1007/s00792-002-0291-6</v>
      </c>
      <c r="BG870" t="s">
        <v>74</v>
      </c>
      <c r="BH870" t="s">
        <v>74</v>
      </c>
      <c r="BI870">
        <v>12</v>
      </c>
      <c r="BJ870" t="s">
        <v>6472</v>
      </c>
      <c r="BK870" t="s">
        <v>94</v>
      </c>
      <c r="BL870" t="s">
        <v>6472</v>
      </c>
      <c r="BM870" t="s">
        <v>12177</v>
      </c>
      <c r="BN870">
        <v>12579376</v>
      </c>
      <c r="BO870" t="s">
        <v>74</v>
      </c>
      <c r="BP870" t="s">
        <v>74</v>
      </c>
      <c r="BQ870" t="s">
        <v>74</v>
      </c>
      <c r="BR870" t="s">
        <v>97</v>
      </c>
      <c r="BS870" t="s">
        <v>12178</v>
      </c>
      <c r="BT870" t="str">
        <f>HYPERLINK("https%3A%2F%2Fwww.webofscience.com%2Fwos%2Fwoscc%2Ffull-record%2FWOS:000181259200003","View Full Record in Web of Science")</f>
        <v>View Full Record in Web of Science</v>
      </c>
    </row>
    <row r="871" spans="1:72" x14ac:dyDescent="0.15">
      <c r="A871" t="s">
        <v>72</v>
      </c>
      <c r="B871" t="s">
        <v>12179</v>
      </c>
      <c r="C871" t="s">
        <v>74</v>
      </c>
      <c r="D871" t="s">
        <v>74</v>
      </c>
      <c r="E871" t="s">
        <v>74</v>
      </c>
      <c r="F871" t="s">
        <v>12179</v>
      </c>
      <c r="G871" t="s">
        <v>74</v>
      </c>
      <c r="H871" t="s">
        <v>74</v>
      </c>
      <c r="I871" t="s">
        <v>12180</v>
      </c>
      <c r="J871" t="s">
        <v>6460</v>
      </c>
      <c r="K871" t="s">
        <v>74</v>
      </c>
      <c r="L871" t="s">
        <v>74</v>
      </c>
      <c r="M871" t="s">
        <v>77</v>
      </c>
      <c r="N871" t="s">
        <v>78</v>
      </c>
      <c r="O871" t="s">
        <v>74</v>
      </c>
      <c r="P871" t="s">
        <v>74</v>
      </c>
      <c r="Q871" t="s">
        <v>74</v>
      </c>
      <c r="R871" t="s">
        <v>74</v>
      </c>
      <c r="S871" t="s">
        <v>74</v>
      </c>
      <c r="T871" t="s">
        <v>12181</v>
      </c>
      <c r="U871" t="s">
        <v>12182</v>
      </c>
      <c r="V871" t="s">
        <v>12183</v>
      </c>
      <c r="W871" t="s">
        <v>12184</v>
      </c>
      <c r="X871" t="s">
        <v>12185</v>
      </c>
      <c r="Y871" t="s">
        <v>12186</v>
      </c>
      <c r="Z871" t="s">
        <v>12187</v>
      </c>
      <c r="AA871" t="s">
        <v>2232</v>
      </c>
      <c r="AB871" t="s">
        <v>12188</v>
      </c>
      <c r="AC871" t="s">
        <v>74</v>
      </c>
      <c r="AD871" t="s">
        <v>74</v>
      </c>
      <c r="AE871" t="s">
        <v>74</v>
      </c>
      <c r="AF871" t="s">
        <v>74</v>
      </c>
      <c r="AG871">
        <v>40</v>
      </c>
      <c r="AH871">
        <v>57</v>
      </c>
      <c r="AI871">
        <v>58</v>
      </c>
      <c r="AJ871">
        <v>0</v>
      </c>
      <c r="AK871">
        <v>5</v>
      </c>
      <c r="AL871" t="s">
        <v>12189</v>
      </c>
      <c r="AM871" t="s">
        <v>520</v>
      </c>
      <c r="AN871" t="s">
        <v>12190</v>
      </c>
      <c r="AO871" t="s">
        <v>6469</v>
      </c>
      <c r="AP871" t="s">
        <v>12191</v>
      </c>
      <c r="AQ871" t="s">
        <v>74</v>
      </c>
      <c r="AR871" t="s">
        <v>6460</v>
      </c>
      <c r="AS871" t="s">
        <v>6470</v>
      </c>
      <c r="AT871" t="s">
        <v>11758</v>
      </c>
      <c r="AU871">
        <v>2003</v>
      </c>
      <c r="AV871">
        <v>7</v>
      </c>
      <c r="AW871">
        <v>1</v>
      </c>
      <c r="AX871" t="s">
        <v>74</v>
      </c>
      <c r="AY871" t="s">
        <v>74</v>
      </c>
      <c r="AZ871" t="s">
        <v>74</v>
      </c>
      <c r="BA871" t="s">
        <v>74</v>
      </c>
      <c r="BB871">
        <v>55</v>
      </c>
      <c r="BC871">
        <v>61</v>
      </c>
      <c r="BD871" t="s">
        <v>74</v>
      </c>
      <c r="BE871" t="s">
        <v>12192</v>
      </c>
      <c r="BF871" t="str">
        <f>HYPERLINK("http://dx.doi.org/10.1007/s00792-002-0295-2","http://dx.doi.org/10.1007/s00792-002-0295-2")</f>
        <v>http://dx.doi.org/10.1007/s00792-002-0295-2</v>
      </c>
      <c r="BG871" t="s">
        <v>74</v>
      </c>
      <c r="BH871" t="s">
        <v>74</v>
      </c>
      <c r="BI871">
        <v>7</v>
      </c>
      <c r="BJ871" t="s">
        <v>6472</v>
      </c>
      <c r="BK871" t="s">
        <v>94</v>
      </c>
      <c r="BL871" t="s">
        <v>6472</v>
      </c>
      <c r="BM871" t="s">
        <v>12177</v>
      </c>
      <c r="BN871">
        <v>12579380</v>
      </c>
      <c r="BO871" t="s">
        <v>74</v>
      </c>
      <c r="BP871" t="s">
        <v>74</v>
      </c>
      <c r="BQ871" t="s">
        <v>74</v>
      </c>
      <c r="BR871" t="s">
        <v>97</v>
      </c>
      <c r="BS871" t="s">
        <v>12193</v>
      </c>
      <c r="BT871" t="str">
        <f>HYPERLINK("https%3A%2F%2Fwww.webofscience.com%2Fwos%2Fwoscc%2Ffull-record%2FWOS:000181259200007","View Full Record in Web of Science")</f>
        <v>View Full Record in Web of Science</v>
      </c>
    </row>
    <row r="872" spans="1:72" x14ac:dyDescent="0.15">
      <c r="A872" t="s">
        <v>72</v>
      </c>
      <c r="B872" t="s">
        <v>12194</v>
      </c>
      <c r="C872" t="s">
        <v>74</v>
      </c>
      <c r="D872" t="s">
        <v>74</v>
      </c>
      <c r="E872" t="s">
        <v>74</v>
      </c>
      <c r="F872" t="s">
        <v>12194</v>
      </c>
      <c r="G872" t="s">
        <v>74</v>
      </c>
      <c r="H872" t="s">
        <v>74</v>
      </c>
      <c r="I872" t="s">
        <v>12195</v>
      </c>
      <c r="J872" t="s">
        <v>3488</v>
      </c>
      <c r="K872" t="s">
        <v>74</v>
      </c>
      <c r="L872" t="s">
        <v>74</v>
      </c>
      <c r="M872" t="s">
        <v>77</v>
      </c>
      <c r="N872" t="s">
        <v>78</v>
      </c>
      <c r="O872" t="s">
        <v>74</v>
      </c>
      <c r="P872" t="s">
        <v>74</v>
      </c>
      <c r="Q872" t="s">
        <v>74</v>
      </c>
      <c r="R872" t="s">
        <v>74</v>
      </c>
      <c r="S872" t="s">
        <v>74</v>
      </c>
      <c r="T872" t="s">
        <v>12196</v>
      </c>
      <c r="U872" t="s">
        <v>12197</v>
      </c>
      <c r="V872" t="s">
        <v>12198</v>
      </c>
      <c r="W872" t="s">
        <v>12199</v>
      </c>
      <c r="X872" t="s">
        <v>12200</v>
      </c>
      <c r="Y872" t="s">
        <v>12201</v>
      </c>
      <c r="Z872" t="s">
        <v>74</v>
      </c>
      <c r="AA872" t="s">
        <v>12202</v>
      </c>
      <c r="AB872" t="s">
        <v>12203</v>
      </c>
      <c r="AC872" t="s">
        <v>74</v>
      </c>
      <c r="AD872" t="s">
        <v>74</v>
      </c>
      <c r="AE872" t="s">
        <v>74</v>
      </c>
      <c r="AF872" t="s">
        <v>74</v>
      </c>
      <c r="AG872">
        <v>28</v>
      </c>
      <c r="AH872">
        <v>27</v>
      </c>
      <c r="AI872">
        <v>28</v>
      </c>
      <c r="AJ872">
        <v>2</v>
      </c>
      <c r="AK872">
        <v>9</v>
      </c>
      <c r="AL872" t="s">
        <v>110</v>
      </c>
      <c r="AM872" t="s">
        <v>111</v>
      </c>
      <c r="AN872" t="s">
        <v>112</v>
      </c>
      <c r="AO872" t="s">
        <v>3497</v>
      </c>
      <c r="AP872" t="s">
        <v>74</v>
      </c>
      <c r="AQ872" t="s">
        <v>74</v>
      </c>
      <c r="AR872" t="s">
        <v>3499</v>
      </c>
      <c r="AS872" t="s">
        <v>3500</v>
      </c>
      <c r="AT872" t="s">
        <v>11758</v>
      </c>
      <c r="AU872">
        <v>2003</v>
      </c>
      <c r="AV872">
        <v>60</v>
      </c>
      <c r="AW872" t="s">
        <v>12204</v>
      </c>
      <c r="AX872" t="s">
        <v>74</v>
      </c>
      <c r="AY872" t="s">
        <v>74</v>
      </c>
      <c r="AZ872" t="s">
        <v>74</v>
      </c>
      <c r="BA872" t="s">
        <v>74</v>
      </c>
      <c r="BB872">
        <v>569</v>
      </c>
      <c r="BC872">
        <v>576</v>
      </c>
      <c r="BD872" t="s">
        <v>12205</v>
      </c>
      <c r="BE872" t="s">
        <v>12206</v>
      </c>
      <c r="BF872" t="str">
        <f>HYPERLINK("http://dx.doi.org/10.1016/S0165-7836(02)00144-3","http://dx.doi.org/10.1016/S0165-7836(02)00144-3")</f>
        <v>http://dx.doi.org/10.1016/S0165-7836(02)00144-3</v>
      </c>
      <c r="BG872" t="s">
        <v>74</v>
      </c>
      <c r="BH872" t="s">
        <v>74</v>
      </c>
      <c r="BI872">
        <v>8</v>
      </c>
      <c r="BJ872" t="s">
        <v>3502</v>
      </c>
      <c r="BK872" t="s">
        <v>94</v>
      </c>
      <c r="BL872" t="s">
        <v>3502</v>
      </c>
      <c r="BM872" t="s">
        <v>12207</v>
      </c>
      <c r="BN872" t="s">
        <v>74</v>
      </c>
      <c r="BO872" t="s">
        <v>74</v>
      </c>
      <c r="BP872" t="s">
        <v>74</v>
      </c>
      <c r="BQ872" t="s">
        <v>74</v>
      </c>
      <c r="BR872" t="s">
        <v>97</v>
      </c>
      <c r="BS872" t="s">
        <v>12208</v>
      </c>
      <c r="BT872" t="str">
        <f>HYPERLINK("https%3A%2F%2Fwww.webofscience.com%2Fwos%2Fwoscc%2Ffull-record%2FWOS:000180877700032","View Full Record in Web of Science")</f>
        <v>View Full Record in Web of Science</v>
      </c>
    </row>
    <row r="873" spans="1:72" x14ac:dyDescent="0.15">
      <c r="A873" t="s">
        <v>72</v>
      </c>
      <c r="B873" t="s">
        <v>12209</v>
      </c>
      <c r="C873" t="s">
        <v>74</v>
      </c>
      <c r="D873" t="s">
        <v>74</v>
      </c>
      <c r="E873" t="s">
        <v>74</v>
      </c>
      <c r="F873" t="s">
        <v>12209</v>
      </c>
      <c r="G873" t="s">
        <v>74</v>
      </c>
      <c r="H873" t="s">
        <v>74</v>
      </c>
      <c r="I873" t="s">
        <v>12210</v>
      </c>
      <c r="J873" t="s">
        <v>3526</v>
      </c>
      <c r="K873" t="s">
        <v>74</v>
      </c>
      <c r="L873" t="s">
        <v>74</v>
      </c>
      <c r="M873" t="s">
        <v>77</v>
      </c>
      <c r="N873" t="s">
        <v>78</v>
      </c>
      <c r="O873" t="s">
        <v>74</v>
      </c>
      <c r="P873" t="s">
        <v>74</v>
      </c>
      <c r="Q873" t="s">
        <v>74</v>
      </c>
      <c r="R873" t="s">
        <v>74</v>
      </c>
      <c r="S873" t="s">
        <v>74</v>
      </c>
      <c r="T873" t="s">
        <v>12211</v>
      </c>
      <c r="U873" t="s">
        <v>12212</v>
      </c>
      <c r="V873" t="s">
        <v>12213</v>
      </c>
      <c r="W873" t="s">
        <v>12214</v>
      </c>
      <c r="X873" t="s">
        <v>12215</v>
      </c>
      <c r="Y873" t="s">
        <v>12216</v>
      </c>
      <c r="Z873" t="s">
        <v>12217</v>
      </c>
      <c r="AA873" t="s">
        <v>12218</v>
      </c>
      <c r="AB873" t="s">
        <v>12219</v>
      </c>
      <c r="AC873" t="s">
        <v>74</v>
      </c>
      <c r="AD873" t="s">
        <v>74</v>
      </c>
      <c r="AE873" t="s">
        <v>74</v>
      </c>
      <c r="AF873" t="s">
        <v>74</v>
      </c>
      <c r="AG873">
        <v>49</v>
      </c>
      <c r="AH873">
        <v>115</v>
      </c>
      <c r="AI873">
        <v>128</v>
      </c>
      <c r="AJ873">
        <v>1</v>
      </c>
      <c r="AK873">
        <v>29</v>
      </c>
      <c r="AL873" t="s">
        <v>250</v>
      </c>
      <c r="AM873" t="s">
        <v>251</v>
      </c>
      <c r="AN873" t="s">
        <v>252</v>
      </c>
      <c r="AO873" t="s">
        <v>3531</v>
      </c>
      <c r="AP873" t="s">
        <v>12220</v>
      </c>
      <c r="AQ873" t="s">
        <v>74</v>
      </c>
      <c r="AR873" t="s">
        <v>3532</v>
      </c>
      <c r="AS873" t="s">
        <v>3533</v>
      </c>
      <c r="AT873" t="s">
        <v>11758</v>
      </c>
      <c r="AU873">
        <v>2003</v>
      </c>
      <c r="AV873">
        <v>17</v>
      </c>
      <c r="AW873">
        <v>1</v>
      </c>
      <c r="AX873" t="s">
        <v>74</v>
      </c>
      <c r="AY873" t="s">
        <v>74</v>
      </c>
      <c r="AZ873" t="s">
        <v>74</v>
      </c>
      <c r="BA873" t="s">
        <v>74</v>
      </c>
      <c r="BB873">
        <v>66</v>
      </c>
      <c r="BC873">
        <v>74</v>
      </c>
      <c r="BD873" t="s">
        <v>74</v>
      </c>
      <c r="BE873" t="s">
        <v>12221</v>
      </c>
      <c r="BF873" t="str">
        <f>HYPERLINK("http://dx.doi.org/10.1046/j.1365-2435.2003.00705.x","http://dx.doi.org/10.1046/j.1365-2435.2003.00705.x")</f>
        <v>http://dx.doi.org/10.1046/j.1365-2435.2003.00705.x</v>
      </c>
      <c r="BG873" t="s">
        <v>74</v>
      </c>
      <c r="BH873" t="s">
        <v>74</v>
      </c>
      <c r="BI873">
        <v>9</v>
      </c>
      <c r="BJ873" t="s">
        <v>3535</v>
      </c>
      <c r="BK873" t="s">
        <v>94</v>
      </c>
      <c r="BL873" t="s">
        <v>2512</v>
      </c>
      <c r="BM873" t="s">
        <v>12222</v>
      </c>
      <c r="BN873" t="s">
        <v>74</v>
      </c>
      <c r="BO873" t="s">
        <v>141</v>
      </c>
      <c r="BP873" t="s">
        <v>74</v>
      </c>
      <c r="BQ873" t="s">
        <v>74</v>
      </c>
      <c r="BR873" t="s">
        <v>97</v>
      </c>
      <c r="BS873" t="s">
        <v>12223</v>
      </c>
      <c r="BT873" t="str">
        <f>HYPERLINK("https%3A%2F%2Fwww.webofscience.com%2Fwos%2Fwoscc%2Ffull-record%2FWOS:000181273000009","View Full Record in Web of Science")</f>
        <v>View Full Record in Web of Science</v>
      </c>
    </row>
    <row r="874" spans="1:72" x14ac:dyDescent="0.15">
      <c r="A874" t="s">
        <v>72</v>
      </c>
      <c r="B874" t="s">
        <v>12224</v>
      </c>
      <c r="C874" t="s">
        <v>74</v>
      </c>
      <c r="D874" t="s">
        <v>74</v>
      </c>
      <c r="E874" t="s">
        <v>74</v>
      </c>
      <c r="F874" t="s">
        <v>12224</v>
      </c>
      <c r="G874" t="s">
        <v>74</v>
      </c>
      <c r="H874" t="s">
        <v>74</v>
      </c>
      <c r="I874" t="s">
        <v>12225</v>
      </c>
      <c r="J874" t="s">
        <v>1664</v>
      </c>
      <c r="K874" t="s">
        <v>74</v>
      </c>
      <c r="L874" t="s">
        <v>74</v>
      </c>
      <c r="M874" t="s">
        <v>77</v>
      </c>
      <c r="N874" t="s">
        <v>556</v>
      </c>
      <c r="O874" t="s">
        <v>74</v>
      </c>
      <c r="P874" t="s">
        <v>74</v>
      </c>
      <c r="Q874" t="s">
        <v>74</v>
      </c>
      <c r="R874" t="s">
        <v>74</v>
      </c>
      <c r="S874" t="s">
        <v>74</v>
      </c>
      <c r="T874" t="s">
        <v>74</v>
      </c>
      <c r="U874" t="s">
        <v>12226</v>
      </c>
      <c r="V874" t="s">
        <v>12227</v>
      </c>
      <c r="W874" t="s">
        <v>12228</v>
      </c>
      <c r="X874" t="s">
        <v>12229</v>
      </c>
      <c r="Y874" t="s">
        <v>12230</v>
      </c>
      <c r="Z874" t="s">
        <v>12231</v>
      </c>
      <c r="AA874" t="s">
        <v>12232</v>
      </c>
      <c r="AB874" t="s">
        <v>12233</v>
      </c>
      <c r="AC874" t="s">
        <v>74</v>
      </c>
      <c r="AD874" t="s">
        <v>74</v>
      </c>
      <c r="AE874" t="s">
        <v>74</v>
      </c>
      <c r="AF874" t="s">
        <v>74</v>
      </c>
      <c r="AG874">
        <v>121</v>
      </c>
      <c r="AH874">
        <v>87</v>
      </c>
      <c r="AI874">
        <v>87</v>
      </c>
      <c r="AJ874">
        <v>2</v>
      </c>
      <c r="AK874">
        <v>18</v>
      </c>
      <c r="AL874" t="s">
        <v>169</v>
      </c>
      <c r="AM874" t="s">
        <v>170</v>
      </c>
      <c r="AN874" t="s">
        <v>171</v>
      </c>
      <c r="AO874" t="s">
        <v>1673</v>
      </c>
      <c r="AP874" t="s">
        <v>1674</v>
      </c>
      <c r="AQ874" t="s">
        <v>74</v>
      </c>
      <c r="AR874" t="s">
        <v>1675</v>
      </c>
      <c r="AS874" t="s">
        <v>1676</v>
      </c>
      <c r="AT874" t="s">
        <v>11758</v>
      </c>
      <c r="AU874">
        <v>2003</v>
      </c>
      <c r="AV874">
        <v>67</v>
      </c>
      <c r="AW874">
        <v>3</v>
      </c>
      <c r="AX874" t="s">
        <v>74</v>
      </c>
      <c r="AY874" t="s">
        <v>74</v>
      </c>
      <c r="AZ874" t="s">
        <v>74</v>
      </c>
      <c r="BA874" t="s">
        <v>74</v>
      </c>
      <c r="BB874">
        <v>507</v>
      </c>
      <c r="BC874">
        <v>527</v>
      </c>
      <c r="BD874" t="s">
        <v>12234</v>
      </c>
      <c r="BE874" t="s">
        <v>12235</v>
      </c>
      <c r="BF874" t="str">
        <f>HYPERLINK("http://dx.doi.org/10.1016/S0016-7037(02)00985-7","http://dx.doi.org/10.1016/S0016-7037(02)00985-7")</f>
        <v>http://dx.doi.org/10.1016/S0016-7037(02)00985-7</v>
      </c>
      <c r="BG874" t="s">
        <v>74</v>
      </c>
      <c r="BH874" t="s">
        <v>74</v>
      </c>
      <c r="BI874">
        <v>21</v>
      </c>
      <c r="BJ874" t="s">
        <v>176</v>
      </c>
      <c r="BK874" t="s">
        <v>94</v>
      </c>
      <c r="BL874" t="s">
        <v>176</v>
      </c>
      <c r="BM874" t="s">
        <v>12236</v>
      </c>
      <c r="BN874" t="s">
        <v>74</v>
      </c>
      <c r="BO874" t="s">
        <v>74</v>
      </c>
      <c r="BP874" t="s">
        <v>74</v>
      </c>
      <c r="BQ874" t="s">
        <v>74</v>
      </c>
      <c r="BR874" t="s">
        <v>97</v>
      </c>
      <c r="BS874" t="s">
        <v>12237</v>
      </c>
      <c r="BT874" t="str">
        <f>HYPERLINK("https%3A%2F%2Fwww.webofscience.com%2Fwos%2Fwoscc%2Ffull-record%2FWOS:000180692600013","View Full Record in Web of Science")</f>
        <v>View Full Record in Web of Science</v>
      </c>
    </row>
    <row r="875" spans="1:72" x14ac:dyDescent="0.15">
      <c r="A875" t="s">
        <v>72</v>
      </c>
      <c r="B875" t="s">
        <v>12238</v>
      </c>
      <c r="C875" t="s">
        <v>74</v>
      </c>
      <c r="D875" t="s">
        <v>74</v>
      </c>
      <c r="E875" t="s">
        <v>74</v>
      </c>
      <c r="F875" t="s">
        <v>12238</v>
      </c>
      <c r="G875" t="s">
        <v>74</v>
      </c>
      <c r="H875" t="s">
        <v>74</v>
      </c>
      <c r="I875" t="s">
        <v>12239</v>
      </c>
      <c r="J875" t="s">
        <v>1664</v>
      </c>
      <c r="K875" t="s">
        <v>74</v>
      </c>
      <c r="L875" t="s">
        <v>74</v>
      </c>
      <c r="M875" t="s">
        <v>77</v>
      </c>
      <c r="N875" t="s">
        <v>78</v>
      </c>
      <c r="O875" t="s">
        <v>74</v>
      </c>
      <c r="P875" t="s">
        <v>74</v>
      </c>
      <c r="Q875" t="s">
        <v>74</v>
      </c>
      <c r="R875" t="s">
        <v>74</v>
      </c>
      <c r="S875" t="s">
        <v>74</v>
      </c>
      <c r="T875" t="s">
        <v>74</v>
      </c>
      <c r="U875" t="s">
        <v>12240</v>
      </c>
      <c r="V875" t="s">
        <v>12241</v>
      </c>
      <c r="W875" t="s">
        <v>12242</v>
      </c>
      <c r="X875" t="s">
        <v>12243</v>
      </c>
      <c r="Y875" t="s">
        <v>12244</v>
      </c>
      <c r="Z875" t="s">
        <v>12245</v>
      </c>
      <c r="AA875" t="s">
        <v>12246</v>
      </c>
      <c r="AB875" t="s">
        <v>12247</v>
      </c>
      <c r="AC875" t="s">
        <v>74</v>
      </c>
      <c r="AD875" t="s">
        <v>74</v>
      </c>
      <c r="AE875" t="s">
        <v>74</v>
      </c>
      <c r="AF875" t="s">
        <v>74</v>
      </c>
      <c r="AG875">
        <v>60</v>
      </c>
      <c r="AH875">
        <v>78</v>
      </c>
      <c r="AI875">
        <v>82</v>
      </c>
      <c r="AJ875">
        <v>0</v>
      </c>
      <c r="AK875">
        <v>23</v>
      </c>
      <c r="AL875" t="s">
        <v>169</v>
      </c>
      <c r="AM875" t="s">
        <v>170</v>
      </c>
      <c r="AN875" t="s">
        <v>171</v>
      </c>
      <c r="AO875" t="s">
        <v>1673</v>
      </c>
      <c r="AP875" t="s">
        <v>1674</v>
      </c>
      <c r="AQ875" t="s">
        <v>74</v>
      </c>
      <c r="AR875" t="s">
        <v>1675</v>
      </c>
      <c r="AS875" t="s">
        <v>1676</v>
      </c>
      <c r="AT875" t="s">
        <v>11758</v>
      </c>
      <c r="AU875">
        <v>2003</v>
      </c>
      <c r="AV875">
        <v>67</v>
      </c>
      <c r="AW875">
        <v>4</v>
      </c>
      <c r="AX875" t="s">
        <v>74</v>
      </c>
      <c r="AY875" t="s">
        <v>74</v>
      </c>
      <c r="AZ875" t="s">
        <v>74</v>
      </c>
      <c r="BA875" t="s">
        <v>74</v>
      </c>
      <c r="BB875">
        <v>693</v>
      </c>
      <c r="BC875">
        <v>708</v>
      </c>
      <c r="BD875" t="s">
        <v>74</v>
      </c>
      <c r="BE875" t="s">
        <v>12248</v>
      </c>
      <c r="BF875" t="str">
        <f>HYPERLINK("http://dx.doi.org/10.1016/S0016-7037(02)01136-5","http://dx.doi.org/10.1016/S0016-7037(02)01136-5")</f>
        <v>http://dx.doi.org/10.1016/S0016-7037(02)01136-5</v>
      </c>
      <c r="BG875" t="s">
        <v>74</v>
      </c>
      <c r="BH875" t="s">
        <v>74</v>
      </c>
      <c r="BI875">
        <v>16</v>
      </c>
      <c r="BJ875" t="s">
        <v>176</v>
      </c>
      <c r="BK875" t="s">
        <v>94</v>
      </c>
      <c r="BL875" t="s">
        <v>176</v>
      </c>
      <c r="BM875" t="s">
        <v>12249</v>
      </c>
      <c r="BN875" t="s">
        <v>74</v>
      </c>
      <c r="BO875" t="s">
        <v>74</v>
      </c>
      <c r="BP875" t="s">
        <v>74</v>
      </c>
      <c r="BQ875" t="s">
        <v>74</v>
      </c>
      <c r="BR875" t="s">
        <v>97</v>
      </c>
      <c r="BS875" t="s">
        <v>12250</v>
      </c>
      <c r="BT875" t="str">
        <f>HYPERLINK("https%3A%2F%2Fwww.webofscience.com%2Fwos%2Fwoscc%2Ffull-record%2FWOS:000180866400010","View Full Record in Web of Science")</f>
        <v>View Full Record in Web of Science</v>
      </c>
    </row>
    <row r="876" spans="1:72" x14ac:dyDescent="0.15">
      <c r="A876" t="s">
        <v>72</v>
      </c>
      <c r="B876" t="s">
        <v>12251</v>
      </c>
      <c r="C876" t="s">
        <v>74</v>
      </c>
      <c r="D876" t="s">
        <v>74</v>
      </c>
      <c r="E876" t="s">
        <v>74</v>
      </c>
      <c r="F876" t="s">
        <v>12251</v>
      </c>
      <c r="G876" t="s">
        <v>74</v>
      </c>
      <c r="H876" t="s">
        <v>74</v>
      </c>
      <c r="I876" t="s">
        <v>12252</v>
      </c>
      <c r="J876" t="s">
        <v>1738</v>
      </c>
      <c r="K876" t="s">
        <v>74</v>
      </c>
      <c r="L876" t="s">
        <v>74</v>
      </c>
      <c r="M876" t="s">
        <v>77</v>
      </c>
      <c r="N876" t="s">
        <v>78</v>
      </c>
      <c r="O876" t="s">
        <v>74</v>
      </c>
      <c r="P876" t="s">
        <v>74</v>
      </c>
      <c r="Q876" t="s">
        <v>74</v>
      </c>
      <c r="R876" t="s">
        <v>74</v>
      </c>
      <c r="S876" t="s">
        <v>74</v>
      </c>
      <c r="T876" t="s">
        <v>12253</v>
      </c>
      <c r="U876" t="s">
        <v>12254</v>
      </c>
      <c r="V876" t="s">
        <v>12255</v>
      </c>
      <c r="W876" t="s">
        <v>802</v>
      </c>
      <c r="X876" t="s">
        <v>803</v>
      </c>
      <c r="Y876" t="s">
        <v>12256</v>
      </c>
      <c r="Z876" t="s">
        <v>74</v>
      </c>
      <c r="AA876" t="s">
        <v>12257</v>
      </c>
      <c r="AB876" t="s">
        <v>12258</v>
      </c>
      <c r="AC876" t="s">
        <v>74</v>
      </c>
      <c r="AD876" t="s">
        <v>74</v>
      </c>
      <c r="AE876" t="s">
        <v>74</v>
      </c>
      <c r="AF876" t="s">
        <v>74</v>
      </c>
      <c r="AG876">
        <v>38</v>
      </c>
      <c r="AH876">
        <v>56</v>
      </c>
      <c r="AI876">
        <v>59</v>
      </c>
      <c r="AJ876">
        <v>0</v>
      </c>
      <c r="AK876">
        <v>14</v>
      </c>
      <c r="AL876" t="s">
        <v>1765</v>
      </c>
      <c r="AM876" t="s">
        <v>1748</v>
      </c>
      <c r="AN876" t="s">
        <v>1749</v>
      </c>
      <c r="AO876" t="s">
        <v>1750</v>
      </c>
      <c r="AP876" t="s">
        <v>74</v>
      </c>
      <c r="AQ876" t="s">
        <v>74</v>
      </c>
      <c r="AR876" t="s">
        <v>1738</v>
      </c>
      <c r="AS876" t="s">
        <v>549</v>
      </c>
      <c r="AT876" t="s">
        <v>11758</v>
      </c>
      <c r="AU876">
        <v>2003</v>
      </c>
      <c r="AV876">
        <v>31</v>
      </c>
      <c r="AW876">
        <v>2</v>
      </c>
      <c r="AX876" t="s">
        <v>74</v>
      </c>
      <c r="AY876" t="s">
        <v>74</v>
      </c>
      <c r="AZ876" t="s">
        <v>74</v>
      </c>
      <c r="BA876" t="s">
        <v>74</v>
      </c>
      <c r="BB876">
        <v>107</v>
      </c>
      <c r="BC876">
        <v>110</v>
      </c>
      <c r="BD876" t="s">
        <v>74</v>
      </c>
      <c r="BE876" t="s">
        <v>12259</v>
      </c>
      <c r="BF876" t="str">
        <f>HYPERLINK("http://dx.doi.org/10.1130/0091-7613(2003)031&lt;0107:BBEACO&gt;2.0.CO;2","http://dx.doi.org/10.1130/0091-7613(2003)031&lt;0107:BBEACO&gt;2.0.CO;2")</f>
        <v>http://dx.doi.org/10.1130/0091-7613(2003)031&lt;0107:BBEACO&gt;2.0.CO;2</v>
      </c>
      <c r="BG876" t="s">
        <v>74</v>
      </c>
      <c r="BH876" t="s">
        <v>74</v>
      </c>
      <c r="BI876">
        <v>4</v>
      </c>
      <c r="BJ876" t="s">
        <v>549</v>
      </c>
      <c r="BK876" t="s">
        <v>94</v>
      </c>
      <c r="BL876" t="s">
        <v>549</v>
      </c>
      <c r="BM876" t="s">
        <v>12260</v>
      </c>
      <c r="BN876" t="s">
        <v>74</v>
      </c>
      <c r="BO876" t="s">
        <v>74</v>
      </c>
      <c r="BP876" t="s">
        <v>74</v>
      </c>
      <c r="BQ876" t="s">
        <v>74</v>
      </c>
      <c r="BR876" t="s">
        <v>97</v>
      </c>
      <c r="BS876" t="s">
        <v>12261</v>
      </c>
      <c r="BT876" t="str">
        <f>HYPERLINK("https%3A%2F%2Fwww.webofscience.com%2Fwos%2Fwoscc%2Ffull-record%2FWOS:000180898400003","View Full Record in Web of Science")</f>
        <v>View Full Record in Web of Science</v>
      </c>
    </row>
    <row r="877" spans="1:72" x14ac:dyDescent="0.15">
      <c r="A877" t="s">
        <v>72</v>
      </c>
      <c r="B877" t="s">
        <v>12262</v>
      </c>
      <c r="C877" t="s">
        <v>74</v>
      </c>
      <c r="D877" t="s">
        <v>74</v>
      </c>
      <c r="E877" t="s">
        <v>74</v>
      </c>
      <c r="F877" t="s">
        <v>12262</v>
      </c>
      <c r="G877" t="s">
        <v>74</v>
      </c>
      <c r="H877" t="s">
        <v>74</v>
      </c>
      <c r="I877" t="s">
        <v>12263</v>
      </c>
      <c r="J877" t="s">
        <v>1738</v>
      </c>
      <c r="K877" t="s">
        <v>74</v>
      </c>
      <c r="L877" t="s">
        <v>74</v>
      </c>
      <c r="M877" t="s">
        <v>77</v>
      </c>
      <c r="N877" t="s">
        <v>78</v>
      </c>
      <c r="O877" t="s">
        <v>74</v>
      </c>
      <c r="P877" t="s">
        <v>74</v>
      </c>
      <c r="Q877" t="s">
        <v>74</v>
      </c>
      <c r="R877" t="s">
        <v>74</v>
      </c>
      <c r="S877" t="s">
        <v>74</v>
      </c>
      <c r="T877" t="s">
        <v>12264</v>
      </c>
      <c r="U877" t="s">
        <v>12265</v>
      </c>
      <c r="V877" t="s">
        <v>12266</v>
      </c>
      <c r="W877" t="s">
        <v>12267</v>
      </c>
      <c r="X877" t="s">
        <v>9440</v>
      </c>
      <c r="Y877" t="s">
        <v>12268</v>
      </c>
      <c r="Z877" t="s">
        <v>74</v>
      </c>
      <c r="AA877" t="s">
        <v>12269</v>
      </c>
      <c r="AB877" t="s">
        <v>12270</v>
      </c>
      <c r="AC877" t="s">
        <v>74</v>
      </c>
      <c r="AD877" t="s">
        <v>74</v>
      </c>
      <c r="AE877" t="s">
        <v>74</v>
      </c>
      <c r="AF877" t="s">
        <v>74</v>
      </c>
      <c r="AG877">
        <v>29</v>
      </c>
      <c r="AH877">
        <v>48</v>
      </c>
      <c r="AI877">
        <v>50</v>
      </c>
      <c r="AJ877">
        <v>0</v>
      </c>
      <c r="AK877">
        <v>11</v>
      </c>
      <c r="AL877" t="s">
        <v>1747</v>
      </c>
      <c r="AM877" t="s">
        <v>1748</v>
      </c>
      <c r="AN877" t="s">
        <v>1749</v>
      </c>
      <c r="AO877" t="s">
        <v>1750</v>
      </c>
      <c r="AP877" t="s">
        <v>1751</v>
      </c>
      <c r="AQ877" t="s">
        <v>74</v>
      </c>
      <c r="AR877" t="s">
        <v>1738</v>
      </c>
      <c r="AS877" t="s">
        <v>549</v>
      </c>
      <c r="AT877" t="s">
        <v>11758</v>
      </c>
      <c r="AU877">
        <v>2003</v>
      </c>
      <c r="AV877">
        <v>31</v>
      </c>
      <c r="AW877">
        <v>2</v>
      </c>
      <c r="AX877" t="s">
        <v>74</v>
      </c>
      <c r="AY877" t="s">
        <v>74</v>
      </c>
      <c r="AZ877" t="s">
        <v>74</v>
      </c>
      <c r="BA877" t="s">
        <v>74</v>
      </c>
      <c r="BB877">
        <v>127</v>
      </c>
      <c r="BC877">
        <v>130</v>
      </c>
      <c r="BD877" t="s">
        <v>74</v>
      </c>
      <c r="BE877" t="s">
        <v>12271</v>
      </c>
      <c r="BF877" t="str">
        <f>HYPERLINK("http://dx.doi.org/10.1130/0091-7613(2003)031&lt;0127:SCFBTA&gt;2.0.CO;2","http://dx.doi.org/10.1130/0091-7613(2003)031&lt;0127:SCFBTA&gt;2.0.CO;2")</f>
        <v>http://dx.doi.org/10.1130/0091-7613(2003)031&lt;0127:SCFBTA&gt;2.0.CO;2</v>
      </c>
      <c r="BG877" t="s">
        <v>74</v>
      </c>
      <c r="BH877" t="s">
        <v>74</v>
      </c>
      <c r="BI877">
        <v>4</v>
      </c>
      <c r="BJ877" t="s">
        <v>549</v>
      </c>
      <c r="BK877" t="s">
        <v>94</v>
      </c>
      <c r="BL877" t="s">
        <v>549</v>
      </c>
      <c r="BM877" t="s">
        <v>12260</v>
      </c>
      <c r="BN877" t="s">
        <v>74</v>
      </c>
      <c r="BO877" t="s">
        <v>74</v>
      </c>
      <c r="BP877" t="s">
        <v>74</v>
      </c>
      <c r="BQ877" t="s">
        <v>74</v>
      </c>
      <c r="BR877" t="s">
        <v>97</v>
      </c>
      <c r="BS877" t="s">
        <v>12272</v>
      </c>
      <c r="BT877" t="str">
        <f>HYPERLINK("https%3A%2F%2Fwww.webofscience.com%2Fwos%2Fwoscc%2Ffull-record%2FWOS:000180898400008","View Full Record in Web of Science")</f>
        <v>View Full Record in Web of Science</v>
      </c>
    </row>
    <row r="878" spans="1:72" x14ac:dyDescent="0.15">
      <c r="A878" t="s">
        <v>72</v>
      </c>
      <c r="B878" t="s">
        <v>12273</v>
      </c>
      <c r="C878" t="s">
        <v>74</v>
      </c>
      <c r="D878" t="s">
        <v>74</v>
      </c>
      <c r="E878" t="s">
        <v>74</v>
      </c>
      <c r="F878" t="s">
        <v>12273</v>
      </c>
      <c r="G878" t="s">
        <v>74</v>
      </c>
      <c r="H878" t="s">
        <v>74</v>
      </c>
      <c r="I878" t="s">
        <v>12274</v>
      </c>
      <c r="J878" t="s">
        <v>8138</v>
      </c>
      <c r="K878" t="s">
        <v>74</v>
      </c>
      <c r="L878" t="s">
        <v>74</v>
      </c>
      <c r="M878" t="s">
        <v>77</v>
      </c>
      <c r="N878" t="s">
        <v>159</v>
      </c>
      <c r="O878" t="s">
        <v>12275</v>
      </c>
      <c r="P878">
        <v>2001</v>
      </c>
      <c r="Q878" t="s">
        <v>12276</v>
      </c>
      <c r="R878" t="s">
        <v>74</v>
      </c>
      <c r="S878" t="s">
        <v>74</v>
      </c>
      <c r="T878" t="s">
        <v>12277</v>
      </c>
      <c r="U878" t="s">
        <v>12278</v>
      </c>
      <c r="V878" t="s">
        <v>12279</v>
      </c>
      <c r="W878" t="s">
        <v>12280</v>
      </c>
      <c r="X878" t="s">
        <v>12281</v>
      </c>
      <c r="Y878" t="s">
        <v>12282</v>
      </c>
      <c r="Z878" t="s">
        <v>74</v>
      </c>
      <c r="AA878" t="s">
        <v>74</v>
      </c>
      <c r="AB878" t="s">
        <v>74</v>
      </c>
      <c r="AC878" t="s">
        <v>74</v>
      </c>
      <c r="AD878" t="s">
        <v>74</v>
      </c>
      <c r="AE878" t="s">
        <v>74</v>
      </c>
      <c r="AF878" t="s">
        <v>74</v>
      </c>
      <c r="AG878">
        <v>111</v>
      </c>
      <c r="AH878">
        <v>28</v>
      </c>
      <c r="AI878">
        <v>35</v>
      </c>
      <c r="AJ878">
        <v>0</v>
      </c>
      <c r="AK878">
        <v>5</v>
      </c>
      <c r="AL878" t="s">
        <v>110</v>
      </c>
      <c r="AM878" t="s">
        <v>111</v>
      </c>
      <c r="AN878" t="s">
        <v>112</v>
      </c>
      <c r="AO878" t="s">
        <v>8147</v>
      </c>
      <c r="AP878" t="s">
        <v>74</v>
      </c>
      <c r="AQ878" t="s">
        <v>74</v>
      </c>
      <c r="AR878" t="s">
        <v>8149</v>
      </c>
      <c r="AS878" t="s">
        <v>8150</v>
      </c>
      <c r="AT878" t="s">
        <v>11758</v>
      </c>
      <c r="AU878">
        <v>2003</v>
      </c>
      <c r="AV878">
        <v>35</v>
      </c>
      <c r="AW878" t="s">
        <v>116</v>
      </c>
      <c r="AX878" t="s">
        <v>74</v>
      </c>
      <c r="AY878" t="s">
        <v>74</v>
      </c>
      <c r="AZ878" t="s">
        <v>74</v>
      </c>
      <c r="BA878" t="s">
        <v>74</v>
      </c>
      <c r="BB878">
        <v>199</v>
      </c>
      <c r="BC878">
        <v>219</v>
      </c>
      <c r="BD878" t="s">
        <v>12283</v>
      </c>
      <c r="BE878" t="s">
        <v>12284</v>
      </c>
      <c r="BF878" t="str">
        <f>HYPERLINK("http://dx.doi.org/10.1016/S0921-8181(02)00127-3","http://dx.doi.org/10.1016/S0921-8181(02)00127-3")</f>
        <v>http://dx.doi.org/10.1016/S0921-8181(02)00127-3</v>
      </c>
      <c r="BG878" t="s">
        <v>74</v>
      </c>
      <c r="BH878" t="s">
        <v>74</v>
      </c>
      <c r="BI878">
        <v>21</v>
      </c>
      <c r="BJ878" t="s">
        <v>1433</v>
      </c>
      <c r="BK878" t="s">
        <v>854</v>
      </c>
      <c r="BL878" t="s">
        <v>1434</v>
      </c>
      <c r="BM878" t="s">
        <v>12285</v>
      </c>
      <c r="BN878" t="s">
        <v>74</v>
      </c>
      <c r="BO878" t="s">
        <v>74</v>
      </c>
      <c r="BP878" t="s">
        <v>74</v>
      </c>
      <c r="BQ878" t="s">
        <v>74</v>
      </c>
      <c r="BR878" t="s">
        <v>97</v>
      </c>
      <c r="BS878" t="s">
        <v>12286</v>
      </c>
      <c r="BT878" t="str">
        <f>HYPERLINK("https%3A%2F%2Fwww.webofscience.com%2Fwos%2Fwoscc%2Ffull-record%2FWOS:000180366700005","View Full Record in Web of Science")</f>
        <v>View Full Record in Web of Science</v>
      </c>
    </row>
    <row r="879" spans="1:72" x14ac:dyDescent="0.15">
      <c r="A879" t="s">
        <v>72</v>
      </c>
      <c r="B879" t="s">
        <v>12287</v>
      </c>
      <c r="C879" t="s">
        <v>74</v>
      </c>
      <c r="D879" t="s">
        <v>74</v>
      </c>
      <c r="E879" t="s">
        <v>74</v>
      </c>
      <c r="F879" t="s">
        <v>12287</v>
      </c>
      <c r="G879" t="s">
        <v>74</v>
      </c>
      <c r="H879" t="s">
        <v>74</v>
      </c>
      <c r="I879" t="s">
        <v>12288</v>
      </c>
      <c r="J879" t="s">
        <v>8138</v>
      </c>
      <c r="K879" t="s">
        <v>74</v>
      </c>
      <c r="L879" t="s">
        <v>74</v>
      </c>
      <c r="M879" t="s">
        <v>77</v>
      </c>
      <c r="N879" t="s">
        <v>159</v>
      </c>
      <c r="O879" t="s">
        <v>12275</v>
      </c>
      <c r="P879">
        <v>2001</v>
      </c>
      <c r="Q879" t="s">
        <v>12289</v>
      </c>
      <c r="R879" t="s">
        <v>74</v>
      </c>
      <c r="S879" t="s">
        <v>74</v>
      </c>
      <c r="T879" t="s">
        <v>12290</v>
      </c>
      <c r="U879" t="s">
        <v>12291</v>
      </c>
      <c r="V879" t="s">
        <v>12292</v>
      </c>
      <c r="W879" t="s">
        <v>12293</v>
      </c>
      <c r="X879" t="s">
        <v>12294</v>
      </c>
      <c r="Y879" t="s">
        <v>10520</v>
      </c>
      <c r="Z879" t="s">
        <v>12295</v>
      </c>
      <c r="AA879" t="s">
        <v>11303</v>
      </c>
      <c r="AB879" t="s">
        <v>12296</v>
      </c>
      <c r="AC879" t="s">
        <v>74</v>
      </c>
      <c r="AD879" t="s">
        <v>74</v>
      </c>
      <c r="AE879" t="s">
        <v>74</v>
      </c>
      <c r="AF879" t="s">
        <v>74</v>
      </c>
      <c r="AG879">
        <v>32</v>
      </c>
      <c r="AH879">
        <v>45</v>
      </c>
      <c r="AI879">
        <v>54</v>
      </c>
      <c r="AJ879">
        <v>1</v>
      </c>
      <c r="AK879">
        <v>23</v>
      </c>
      <c r="AL879" t="s">
        <v>110</v>
      </c>
      <c r="AM879" t="s">
        <v>111</v>
      </c>
      <c r="AN879" t="s">
        <v>112</v>
      </c>
      <c r="AO879" t="s">
        <v>8147</v>
      </c>
      <c r="AP879" t="s">
        <v>8148</v>
      </c>
      <c r="AQ879" t="s">
        <v>74</v>
      </c>
      <c r="AR879" t="s">
        <v>8149</v>
      </c>
      <c r="AS879" t="s">
        <v>8150</v>
      </c>
      <c r="AT879" t="s">
        <v>11758</v>
      </c>
      <c r="AU879">
        <v>2003</v>
      </c>
      <c r="AV879">
        <v>35</v>
      </c>
      <c r="AW879" t="s">
        <v>116</v>
      </c>
      <c r="AX879" t="s">
        <v>74</v>
      </c>
      <c r="AY879" t="s">
        <v>74</v>
      </c>
      <c r="AZ879" t="s">
        <v>74</v>
      </c>
      <c r="BA879" t="s">
        <v>74</v>
      </c>
      <c r="BB879">
        <v>221</v>
      </c>
      <c r="BC879">
        <v>236</v>
      </c>
      <c r="BD879" t="s">
        <v>12297</v>
      </c>
      <c r="BE879" t="s">
        <v>12298</v>
      </c>
      <c r="BF879" t="str">
        <f>HYPERLINK("http://dx.doi.org/10.1016/S0921-8181(02)00128-5","http://dx.doi.org/10.1016/S0921-8181(02)00128-5")</f>
        <v>http://dx.doi.org/10.1016/S0921-8181(02)00128-5</v>
      </c>
      <c r="BG879" t="s">
        <v>74</v>
      </c>
      <c r="BH879" t="s">
        <v>74</v>
      </c>
      <c r="BI879">
        <v>16</v>
      </c>
      <c r="BJ879" t="s">
        <v>1433</v>
      </c>
      <c r="BK879" t="s">
        <v>177</v>
      </c>
      <c r="BL879" t="s">
        <v>1434</v>
      </c>
      <c r="BM879" t="s">
        <v>12285</v>
      </c>
      <c r="BN879" t="s">
        <v>74</v>
      </c>
      <c r="BO879" t="s">
        <v>74</v>
      </c>
      <c r="BP879" t="s">
        <v>74</v>
      </c>
      <c r="BQ879" t="s">
        <v>74</v>
      </c>
      <c r="BR879" t="s">
        <v>97</v>
      </c>
      <c r="BS879" t="s">
        <v>12299</v>
      </c>
      <c r="BT879" t="str">
        <f>HYPERLINK("https%3A%2F%2Fwww.webofscience.com%2Fwos%2Fwoscc%2Ffull-record%2FWOS:000180366700006","View Full Record in Web of Science")</f>
        <v>View Full Record in Web of Science</v>
      </c>
    </row>
    <row r="880" spans="1:72" x14ac:dyDescent="0.15">
      <c r="A880" t="s">
        <v>72</v>
      </c>
      <c r="B880" t="s">
        <v>12300</v>
      </c>
      <c r="C880" t="s">
        <v>74</v>
      </c>
      <c r="D880" t="s">
        <v>74</v>
      </c>
      <c r="E880" t="s">
        <v>74</v>
      </c>
      <c r="F880" t="s">
        <v>12300</v>
      </c>
      <c r="G880" t="s">
        <v>74</v>
      </c>
      <c r="H880" t="s">
        <v>74</v>
      </c>
      <c r="I880" t="s">
        <v>12301</v>
      </c>
      <c r="J880" t="s">
        <v>3622</v>
      </c>
      <c r="K880" t="s">
        <v>74</v>
      </c>
      <c r="L880" t="s">
        <v>74</v>
      </c>
      <c r="M880" t="s">
        <v>77</v>
      </c>
      <c r="N880" t="s">
        <v>78</v>
      </c>
      <c r="O880" t="s">
        <v>74</v>
      </c>
      <c r="P880" t="s">
        <v>74</v>
      </c>
      <c r="Q880" t="s">
        <v>74</v>
      </c>
      <c r="R880" t="s">
        <v>74</v>
      </c>
      <c r="S880" t="s">
        <v>74</v>
      </c>
      <c r="T880" t="s">
        <v>12302</v>
      </c>
      <c r="U880" t="s">
        <v>12303</v>
      </c>
      <c r="V880" t="s">
        <v>12304</v>
      </c>
      <c r="W880" t="s">
        <v>12305</v>
      </c>
      <c r="X880" t="s">
        <v>12306</v>
      </c>
      <c r="Y880" t="s">
        <v>12307</v>
      </c>
      <c r="Z880" t="s">
        <v>74</v>
      </c>
      <c r="AA880" t="s">
        <v>12308</v>
      </c>
      <c r="AB880" t="s">
        <v>12309</v>
      </c>
      <c r="AC880" t="s">
        <v>74</v>
      </c>
      <c r="AD880" t="s">
        <v>74</v>
      </c>
      <c r="AE880" t="s">
        <v>74</v>
      </c>
      <c r="AF880" t="s">
        <v>74</v>
      </c>
      <c r="AG880">
        <v>25</v>
      </c>
      <c r="AH880">
        <v>65</v>
      </c>
      <c r="AI880">
        <v>73</v>
      </c>
      <c r="AJ880">
        <v>0</v>
      </c>
      <c r="AK880">
        <v>11</v>
      </c>
      <c r="AL880" t="s">
        <v>3631</v>
      </c>
      <c r="AM880" t="s">
        <v>229</v>
      </c>
      <c r="AN880" t="s">
        <v>12310</v>
      </c>
      <c r="AO880" t="s">
        <v>3634</v>
      </c>
      <c r="AP880" t="s">
        <v>74</v>
      </c>
      <c r="AQ880" t="s">
        <v>74</v>
      </c>
      <c r="AR880" t="s">
        <v>3635</v>
      </c>
      <c r="AS880" t="s">
        <v>3636</v>
      </c>
      <c r="AT880" t="s">
        <v>11758</v>
      </c>
      <c r="AU880">
        <v>2003</v>
      </c>
      <c r="AV880">
        <v>41</v>
      </c>
      <c r="AW880">
        <v>2</v>
      </c>
      <c r="AX880" t="s">
        <v>74</v>
      </c>
      <c r="AY880" t="s">
        <v>74</v>
      </c>
      <c r="AZ880" t="s">
        <v>74</v>
      </c>
      <c r="BA880" t="s">
        <v>74</v>
      </c>
      <c r="BB880">
        <v>482</v>
      </c>
      <c r="BC880">
        <v>492</v>
      </c>
      <c r="BD880" t="s">
        <v>74</v>
      </c>
      <c r="BE880" t="s">
        <v>12311</v>
      </c>
      <c r="BF880" t="str">
        <f>HYPERLINK("http://dx.doi.org/10.1109/TGRS.2002.808238","http://dx.doi.org/10.1109/TGRS.2002.808238")</f>
        <v>http://dx.doi.org/10.1109/TGRS.2002.808238</v>
      </c>
      <c r="BG880" t="s">
        <v>74</v>
      </c>
      <c r="BH880" t="s">
        <v>74</v>
      </c>
      <c r="BI880">
        <v>11</v>
      </c>
      <c r="BJ880" t="s">
        <v>3638</v>
      </c>
      <c r="BK880" t="s">
        <v>94</v>
      </c>
      <c r="BL880" t="s">
        <v>3639</v>
      </c>
      <c r="BM880" t="s">
        <v>12312</v>
      </c>
      <c r="BN880" t="s">
        <v>74</v>
      </c>
      <c r="BO880" t="s">
        <v>74</v>
      </c>
      <c r="BP880" t="s">
        <v>74</v>
      </c>
      <c r="BQ880" t="s">
        <v>74</v>
      </c>
      <c r="BR880" t="s">
        <v>97</v>
      </c>
      <c r="BS880" t="s">
        <v>12313</v>
      </c>
      <c r="BT880" t="str">
        <f>HYPERLINK("https%3A%2F%2Fwww.webofscience.com%2Fwos%2Fwoscc%2Ffull-record%2FWOS:000182494600029","View Full Record in Web of Science")</f>
        <v>View Full Record in Web of Science</v>
      </c>
    </row>
    <row r="881" spans="1:72" x14ac:dyDescent="0.15">
      <c r="A881" t="s">
        <v>72</v>
      </c>
      <c r="B881" t="s">
        <v>12314</v>
      </c>
      <c r="C881" t="s">
        <v>74</v>
      </c>
      <c r="D881" t="s">
        <v>74</v>
      </c>
      <c r="E881" t="s">
        <v>74</v>
      </c>
      <c r="F881" t="s">
        <v>12314</v>
      </c>
      <c r="G881" t="s">
        <v>74</v>
      </c>
      <c r="H881" t="s">
        <v>74</v>
      </c>
      <c r="I881" t="s">
        <v>12315</v>
      </c>
      <c r="J881" t="s">
        <v>12316</v>
      </c>
      <c r="K881" t="s">
        <v>74</v>
      </c>
      <c r="L881" t="s">
        <v>74</v>
      </c>
      <c r="M881" t="s">
        <v>77</v>
      </c>
      <c r="N881" t="s">
        <v>78</v>
      </c>
      <c r="O881" t="s">
        <v>74</v>
      </c>
      <c r="P881" t="s">
        <v>74</v>
      </c>
      <c r="Q881" t="s">
        <v>74</v>
      </c>
      <c r="R881" t="s">
        <v>74</v>
      </c>
      <c r="S881" t="s">
        <v>74</v>
      </c>
      <c r="T881" t="s">
        <v>12317</v>
      </c>
      <c r="U881" t="s">
        <v>12318</v>
      </c>
      <c r="V881" t="s">
        <v>12319</v>
      </c>
      <c r="W881" t="s">
        <v>12320</v>
      </c>
      <c r="X881" t="s">
        <v>12321</v>
      </c>
      <c r="Y881" t="s">
        <v>12322</v>
      </c>
      <c r="Z881" t="s">
        <v>74</v>
      </c>
      <c r="AA881" t="s">
        <v>12323</v>
      </c>
      <c r="AB881" t="s">
        <v>12324</v>
      </c>
      <c r="AC881" t="s">
        <v>74</v>
      </c>
      <c r="AD881" t="s">
        <v>74</v>
      </c>
      <c r="AE881" t="s">
        <v>74</v>
      </c>
      <c r="AF881" t="s">
        <v>74</v>
      </c>
      <c r="AG881">
        <v>20</v>
      </c>
      <c r="AH881">
        <v>25</v>
      </c>
      <c r="AI881">
        <v>31</v>
      </c>
      <c r="AJ881">
        <v>0</v>
      </c>
      <c r="AK881">
        <v>6</v>
      </c>
      <c r="AL881" t="s">
        <v>3631</v>
      </c>
      <c r="AM881" t="s">
        <v>229</v>
      </c>
      <c r="AN881" t="s">
        <v>12310</v>
      </c>
      <c r="AO881" t="s">
        <v>12325</v>
      </c>
      <c r="AP881" t="s">
        <v>74</v>
      </c>
      <c r="AQ881" t="s">
        <v>74</v>
      </c>
      <c r="AR881" t="s">
        <v>12326</v>
      </c>
      <c r="AS881" t="s">
        <v>12327</v>
      </c>
      <c r="AT881" t="s">
        <v>11758</v>
      </c>
      <c r="AU881">
        <v>2003</v>
      </c>
      <c r="AV881">
        <v>50</v>
      </c>
      <c r="AW881">
        <v>1</v>
      </c>
      <c r="AX881" t="s">
        <v>74</v>
      </c>
      <c r="AY881" t="s">
        <v>74</v>
      </c>
      <c r="AZ881" t="s">
        <v>74</v>
      </c>
      <c r="BA881" t="s">
        <v>74</v>
      </c>
      <c r="BB881">
        <v>18</v>
      </c>
      <c r="BC881">
        <v>29</v>
      </c>
      <c r="BD881" t="s">
        <v>74</v>
      </c>
      <c r="BE881" t="s">
        <v>12328</v>
      </c>
      <c r="BF881" t="str">
        <f>HYPERLINK("http://dx.doi.org/10.1109/TIE.2002.807688","http://dx.doi.org/10.1109/TIE.2002.807688")</f>
        <v>http://dx.doi.org/10.1109/TIE.2002.807688</v>
      </c>
      <c r="BG881" t="s">
        <v>74</v>
      </c>
      <c r="BH881" t="s">
        <v>74</v>
      </c>
      <c r="BI881">
        <v>12</v>
      </c>
      <c r="BJ881" t="s">
        <v>12329</v>
      </c>
      <c r="BK881" t="s">
        <v>94</v>
      </c>
      <c r="BL881" t="s">
        <v>12330</v>
      </c>
      <c r="BM881" t="s">
        <v>12331</v>
      </c>
      <c r="BN881" t="s">
        <v>74</v>
      </c>
      <c r="BO881" t="s">
        <v>74</v>
      </c>
      <c r="BP881" t="s">
        <v>74</v>
      </c>
      <c r="BQ881" t="s">
        <v>74</v>
      </c>
      <c r="BR881" t="s">
        <v>97</v>
      </c>
      <c r="BS881" t="s">
        <v>12332</v>
      </c>
      <c r="BT881" t="str">
        <f>HYPERLINK("https%3A%2F%2Fwww.webofscience.com%2Fwos%2Fwoscc%2Ffull-record%2FWOS:000180713800003","View Full Record in Web of Science")</f>
        <v>View Full Record in Web of Science</v>
      </c>
    </row>
    <row r="882" spans="1:72" x14ac:dyDescent="0.15">
      <c r="A882" t="s">
        <v>72</v>
      </c>
      <c r="B882" t="s">
        <v>12333</v>
      </c>
      <c r="C882" t="s">
        <v>74</v>
      </c>
      <c r="D882" t="s">
        <v>74</v>
      </c>
      <c r="E882" t="s">
        <v>74</v>
      </c>
      <c r="F882" t="s">
        <v>12333</v>
      </c>
      <c r="G882" t="s">
        <v>74</v>
      </c>
      <c r="H882" t="s">
        <v>74</v>
      </c>
      <c r="I882" t="s">
        <v>12334</v>
      </c>
      <c r="J882" t="s">
        <v>12335</v>
      </c>
      <c r="K882" t="s">
        <v>74</v>
      </c>
      <c r="L882" t="s">
        <v>74</v>
      </c>
      <c r="M882" t="s">
        <v>77</v>
      </c>
      <c r="N882" t="s">
        <v>78</v>
      </c>
      <c r="O882" t="s">
        <v>74</v>
      </c>
      <c r="P882" t="s">
        <v>74</v>
      </c>
      <c r="Q882" t="s">
        <v>74</v>
      </c>
      <c r="R882" t="s">
        <v>74</v>
      </c>
      <c r="S882" t="s">
        <v>74</v>
      </c>
      <c r="T882" t="s">
        <v>74</v>
      </c>
      <c r="U882" t="s">
        <v>12336</v>
      </c>
      <c r="V882" t="s">
        <v>12337</v>
      </c>
      <c r="W882" t="s">
        <v>12338</v>
      </c>
      <c r="X882" t="s">
        <v>12339</v>
      </c>
      <c r="Y882" t="s">
        <v>12340</v>
      </c>
      <c r="Z882" t="s">
        <v>74</v>
      </c>
      <c r="AA882" t="s">
        <v>12341</v>
      </c>
      <c r="AB882" t="s">
        <v>74</v>
      </c>
      <c r="AC882" t="s">
        <v>74</v>
      </c>
      <c r="AD882" t="s">
        <v>74</v>
      </c>
      <c r="AE882" t="s">
        <v>74</v>
      </c>
      <c r="AF882" t="s">
        <v>74</v>
      </c>
      <c r="AG882">
        <v>73</v>
      </c>
      <c r="AH882">
        <v>4</v>
      </c>
      <c r="AI882">
        <v>4</v>
      </c>
      <c r="AJ882">
        <v>0</v>
      </c>
      <c r="AK882">
        <v>1</v>
      </c>
      <c r="AL882" t="s">
        <v>1789</v>
      </c>
      <c r="AM882" t="s">
        <v>1790</v>
      </c>
      <c r="AN882" t="s">
        <v>1791</v>
      </c>
      <c r="AO882" t="s">
        <v>12342</v>
      </c>
      <c r="AP882" t="s">
        <v>74</v>
      </c>
      <c r="AQ882" t="s">
        <v>74</v>
      </c>
      <c r="AR882" t="s">
        <v>12343</v>
      </c>
      <c r="AS882" t="s">
        <v>12344</v>
      </c>
      <c r="AT882" t="s">
        <v>11758</v>
      </c>
      <c r="AU882">
        <v>2003</v>
      </c>
      <c r="AV882">
        <v>39</v>
      </c>
      <c r="AW882">
        <v>2</v>
      </c>
      <c r="AX882" t="s">
        <v>74</v>
      </c>
      <c r="AY882" t="s">
        <v>74</v>
      </c>
      <c r="AZ882" t="s">
        <v>74</v>
      </c>
      <c r="BA882" t="s">
        <v>74</v>
      </c>
      <c r="BB882">
        <v>149</v>
      </c>
      <c r="BC882">
        <v>158</v>
      </c>
      <c r="BD882" t="s">
        <v>74</v>
      </c>
      <c r="BE882" t="s">
        <v>74</v>
      </c>
      <c r="BF882" t="s">
        <v>74</v>
      </c>
      <c r="BG882" t="s">
        <v>74</v>
      </c>
      <c r="BH882" t="s">
        <v>74</v>
      </c>
      <c r="BI882">
        <v>10</v>
      </c>
      <c r="BJ882" t="s">
        <v>176</v>
      </c>
      <c r="BK882" t="s">
        <v>94</v>
      </c>
      <c r="BL882" t="s">
        <v>176</v>
      </c>
      <c r="BM882" t="s">
        <v>12345</v>
      </c>
      <c r="BN882" t="s">
        <v>74</v>
      </c>
      <c r="BO882" t="s">
        <v>74</v>
      </c>
      <c r="BP882" t="s">
        <v>74</v>
      </c>
      <c r="BQ882" t="s">
        <v>74</v>
      </c>
      <c r="BR882" t="s">
        <v>97</v>
      </c>
      <c r="BS882" t="s">
        <v>12346</v>
      </c>
      <c r="BT882" t="str">
        <f>HYPERLINK("https%3A%2F%2Fwww.webofscience.com%2Fwos%2Fwoscc%2Ffull-record%2FWOS:000181223700005","View Full Record in Web of Science")</f>
        <v>View Full Record in Web of Science</v>
      </c>
    </row>
    <row r="883" spans="1:72" x14ac:dyDescent="0.15">
      <c r="A883" t="s">
        <v>72</v>
      </c>
      <c r="B883" t="s">
        <v>12347</v>
      </c>
      <c r="C883" t="s">
        <v>74</v>
      </c>
      <c r="D883" t="s">
        <v>74</v>
      </c>
      <c r="E883" t="s">
        <v>74</v>
      </c>
      <c r="F883" t="s">
        <v>12347</v>
      </c>
      <c r="G883" t="s">
        <v>74</v>
      </c>
      <c r="H883" t="s">
        <v>74</v>
      </c>
      <c r="I883" t="s">
        <v>12348</v>
      </c>
      <c r="J883" t="s">
        <v>8312</v>
      </c>
      <c r="K883" t="s">
        <v>74</v>
      </c>
      <c r="L883" t="s">
        <v>74</v>
      </c>
      <c r="M883" t="s">
        <v>77</v>
      </c>
      <c r="N883" t="s">
        <v>78</v>
      </c>
      <c r="O883" t="s">
        <v>74</v>
      </c>
      <c r="P883" t="s">
        <v>74</v>
      </c>
      <c r="Q883" t="s">
        <v>74</v>
      </c>
      <c r="R883" t="s">
        <v>74</v>
      </c>
      <c r="S883" t="s">
        <v>74</v>
      </c>
      <c r="T883" t="s">
        <v>12349</v>
      </c>
      <c r="U883" t="s">
        <v>12350</v>
      </c>
      <c r="V883" t="s">
        <v>12351</v>
      </c>
      <c r="W883" t="s">
        <v>12352</v>
      </c>
      <c r="X883" t="s">
        <v>12353</v>
      </c>
      <c r="Y883" t="s">
        <v>12354</v>
      </c>
      <c r="Z883" t="s">
        <v>12355</v>
      </c>
      <c r="AA883" t="s">
        <v>74</v>
      </c>
      <c r="AB883" t="s">
        <v>74</v>
      </c>
      <c r="AC883" t="s">
        <v>74</v>
      </c>
      <c r="AD883" t="s">
        <v>74</v>
      </c>
      <c r="AE883" t="s">
        <v>74</v>
      </c>
      <c r="AF883" t="s">
        <v>74</v>
      </c>
      <c r="AG883">
        <v>23</v>
      </c>
      <c r="AH883">
        <v>9</v>
      </c>
      <c r="AI883">
        <v>10</v>
      </c>
      <c r="AJ883">
        <v>0</v>
      </c>
      <c r="AK883">
        <v>3</v>
      </c>
      <c r="AL883" t="s">
        <v>169</v>
      </c>
      <c r="AM883" t="s">
        <v>170</v>
      </c>
      <c r="AN883" t="s">
        <v>171</v>
      </c>
      <c r="AO883" t="s">
        <v>8319</v>
      </c>
      <c r="AP883" t="s">
        <v>74</v>
      </c>
      <c r="AQ883" t="s">
        <v>74</v>
      </c>
      <c r="AR883" t="s">
        <v>8320</v>
      </c>
      <c r="AS883" t="s">
        <v>8321</v>
      </c>
      <c r="AT883" t="s">
        <v>11758</v>
      </c>
      <c r="AU883">
        <v>2003</v>
      </c>
      <c r="AV883">
        <v>65</v>
      </c>
      <c r="AW883">
        <v>3</v>
      </c>
      <c r="AX883" t="s">
        <v>74</v>
      </c>
      <c r="AY883" t="s">
        <v>74</v>
      </c>
      <c r="AZ883" t="s">
        <v>74</v>
      </c>
      <c r="BA883" t="s">
        <v>74</v>
      </c>
      <c r="BB883">
        <v>305</v>
      </c>
      <c r="BC883">
        <v>314</v>
      </c>
      <c r="BD883" t="s">
        <v>12356</v>
      </c>
      <c r="BE883" t="s">
        <v>12357</v>
      </c>
      <c r="BF883" t="str">
        <f>HYPERLINK("http://dx.doi.org/10.1016/S1364-6826(02)00287-0","http://dx.doi.org/10.1016/S1364-6826(02)00287-0")</f>
        <v>http://dx.doi.org/10.1016/S1364-6826(02)00287-0</v>
      </c>
      <c r="BG883" t="s">
        <v>74</v>
      </c>
      <c r="BH883" t="s">
        <v>74</v>
      </c>
      <c r="BI883">
        <v>10</v>
      </c>
      <c r="BJ883" t="s">
        <v>8323</v>
      </c>
      <c r="BK883" t="s">
        <v>94</v>
      </c>
      <c r="BL883" t="s">
        <v>8323</v>
      </c>
      <c r="BM883" t="s">
        <v>12358</v>
      </c>
      <c r="BN883" t="s">
        <v>74</v>
      </c>
      <c r="BO883" t="s">
        <v>74</v>
      </c>
      <c r="BP883" t="s">
        <v>74</v>
      </c>
      <c r="BQ883" t="s">
        <v>74</v>
      </c>
      <c r="BR883" t="s">
        <v>97</v>
      </c>
      <c r="BS883" t="s">
        <v>12359</v>
      </c>
      <c r="BT883" t="str">
        <f>HYPERLINK("https%3A%2F%2Fwww.webofscience.com%2Fwos%2Fwoscc%2Ffull-record%2FWOS:000181249800006","View Full Record in Web of Science")</f>
        <v>View Full Record in Web of Science</v>
      </c>
    </row>
    <row r="884" spans="1:72" x14ac:dyDescent="0.15">
      <c r="A884" t="s">
        <v>72</v>
      </c>
      <c r="B884" t="s">
        <v>12360</v>
      </c>
      <c r="C884" t="s">
        <v>74</v>
      </c>
      <c r="D884" t="s">
        <v>74</v>
      </c>
      <c r="E884" t="s">
        <v>74</v>
      </c>
      <c r="F884" t="s">
        <v>12360</v>
      </c>
      <c r="G884" t="s">
        <v>74</v>
      </c>
      <c r="H884" t="s">
        <v>74</v>
      </c>
      <c r="I884" t="s">
        <v>12361</v>
      </c>
      <c r="J884" t="s">
        <v>8312</v>
      </c>
      <c r="K884" t="s">
        <v>74</v>
      </c>
      <c r="L884" t="s">
        <v>74</v>
      </c>
      <c r="M884" t="s">
        <v>77</v>
      </c>
      <c r="N884" t="s">
        <v>78</v>
      </c>
      <c r="O884" t="s">
        <v>74</v>
      </c>
      <c r="P884" t="s">
        <v>74</v>
      </c>
      <c r="Q884" t="s">
        <v>74</v>
      </c>
      <c r="R884" t="s">
        <v>74</v>
      </c>
      <c r="S884" t="s">
        <v>74</v>
      </c>
      <c r="T884" t="s">
        <v>12362</v>
      </c>
      <c r="U884" t="s">
        <v>12363</v>
      </c>
      <c r="V884" t="s">
        <v>12364</v>
      </c>
      <c r="W884" t="s">
        <v>12365</v>
      </c>
      <c r="X884" t="s">
        <v>12366</v>
      </c>
      <c r="Y884" t="s">
        <v>8901</v>
      </c>
      <c r="Z884" t="s">
        <v>12367</v>
      </c>
      <c r="AA884" t="s">
        <v>12368</v>
      </c>
      <c r="AB884" t="s">
        <v>12369</v>
      </c>
      <c r="AC884" t="s">
        <v>74</v>
      </c>
      <c r="AD884" t="s">
        <v>74</v>
      </c>
      <c r="AE884" t="s">
        <v>74</v>
      </c>
      <c r="AF884" t="s">
        <v>74</v>
      </c>
      <c r="AG884">
        <v>27</v>
      </c>
      <c r="AH884">
        <v>35</v>
      </c>
      <c r="AI884">
        <v>38</v>
      </c>
      <c r="AJ884">
        <v>0</v>
      </c>
      <c r="AK884">
        <v>2</v>
      </c>
      <c r="AL884" t="s">
        <v>169</v>
      </c>
      <c r="AM884" t="s">
        <v>170</v>
      </c>
      <c r="AN884" t="s">
        <v>171</v>
      </c>
      <c r="AO884" t="s">
        <v>8319</v>
      </c>
      <c r="AP884" t="s">
        <v>10799</v>
      </c>
      <c r="AQ884" t="s">
        <v>74</v>
      </c>
      <c r="AR884" t="s">
        <v>8320</v>
      </c>
      <c r="AS884" t="s">
        <v>8321</v>
      </c>
      <c r="AT884" t="s">
        <v>11758</v>
      </c>
      <c r="AU884">
        <v>2003</v>
      </c>
      <c r="AV884">
        <v>65</v>
      </c>
      <c r="AW884">
        <v>3</v>
      </c>
      <c r="AX884" t="s">
        <v>74</v>
      </c>
      <c r="AY884" t="s">
        <v>74</v>
      </c>
      <c r="AZ884" t="s">
        <v>74</v>
      </c>
      <c r="BA884" t="s">
        <v>74</v>
      </c>
      <c r="BB884">
        <v>345</v>
      </c>
      <c r="BC884">
        <v>354</v>
      </c>
      <c r="BD884" t="s">
        <v>12370</v>
      </c>
      <c r="BE884" t="s">
        <v>12371</v>
      </c>
      <c r="BF884" t="str">
        <f>HYPERLINK("http://dx.doi.org/10.1016/S1364-6826(02)00225-0","http://dx.doi.org/10.1016/S1364-6826(02)00225-0")</f>
        <v>http://dx.doi.org/10.1016/S1364-6826(02)00225-0</v>
      </c>
      <c r="BG884" t="s">
        <v>74</v>
      </c>
      <c r="BH884" t="s">
        <v>74</v>
      </c>
      <c r="BI884">
        <v>10</v>
      </c>
      <c r="BJ884" t="s">
        <v>8323</v>
      </c>
      <c r="BK884" t="s">
        <v>94</v>
      </c>
      <c r="BL884" t="s">
        <v>8323</v>
      </c>
      <c r="BM884" t="s">
        <v>12358</v>
      </c>
      <c r="BN884" t="s">
        <v>74</v>
      </c>
      <c r="BO884" t="s">
        <v>74</v>
      </c>
      <c r="BP884" t="s">
        <v>74</v>
      </c>
      <c r="BQ884" t="s">
        <v>74</v>
      </c>
      <c r="BR884" t="s">
        <v>97</v>
      </c>
      <c r="BS884" t="s">
        <v>12372</v>
      </c>
      <c r="BT884" t="str">
        <f>HYPERLINK("https%3A%2F%2Fwww.webofscience.com%2Fwos%2Fwoscc%2Ffull-record%2FWOS:000181249800010","View Full Record in Web of Science")</f>
        <v>View Full Record in Web of Science</v>
      </c>
    </row>
    <row r="885" spans="1:72" x14ac:dyDescent="0.15">
      <c r="A885" t="s">
        <v>72</v>
      </c>
      <c r="B885" t="s">
        <v>12373</v>
      </c>
      <c r="C885" t="s">
        <v>74</v>
      </c>
      <c r="D885" t="s">
        <v>74</v>
      </c>
      <c r="E885" t="s">
        <v>74</v>
      </c>
      <c r="F885" t="s">
        <v>12373</v>
      </c>
      <c r="G885" t="s">
        <v>74</v>
      </c>
      <c r="H885" t="s">
        <v>74</v>
      </c>
      <c r="I885" t="s">
        <v>12374</v>
      </c>
      <c r="J885" t="s">
        <v>124</v>
      </c>
      <c r="K885" t="s">
        <v>74</v>
      </c>
      <c r="L885" t="s">
        <v>74</v>
      </c>
      <c r="M885" t="s">
        <v>77</v>
      </c>
      <c r="N885" t="s">
        <v>78</v>
      </c>
      <c r="O885" t="s">
        <v>74</v>
      </c>
      <c r="P885" t="s">
        <v>74</v>
      </c>
      <c r="Q885" t="s">
        <v>74</v>
      </c>
      <c r="R885" t="s">
        <v>74</v>
      </c>
      <c r="S885" t="s">
        <v>74</v>
      </c>
      <c r="T885" t="s">
        <v>12375</v>
      </c>
      <c r="U885" t="s">
        <v>12376</v>
      </c>
      <c r="V885" t="s">
        <v>12377</v>
      </c>
      <c r="W885" t="s">
        <v>12378</v>
      </c>
      <c r="X885" t="s">
        <v>12379</v>
      </c>
      <c r="Y885" t="s">
        <v>12380</v>
      </c>
      <c r="Z885" t="s">
        <v>12381</v>
      </c>
      <c r="AA885" t="s">
        <v>12382</v>
      </c>
      <c r="AB885" t="s">
        <v>12383</v>
      </c>
      <c r="AC885" t="s">
        <v>74</v>
      </c>
      <c r="AD885" t="s">
        <v>74</v>
      </c>
      <c r="AE885" t="s">
        <v>74</v>
      </c>
      <c r="AF885" t="s">
        <v>74</v>
      </c>
      <c r="AG885">
        <v>45</v>
      </c>
      <c r="AH885">
        <v>20</v>
      </c>
      <c r="AI885">
        <v>24</v>
      </c>
      <c r="AJ885">
        <v>0</v>
      </c>
      <c r="AK885">
        <v>7</v>
      </c>
      <c r="AL885" t="s">
        <v>3773</v>
      </c>
      <c r="AM885" t="s">
        <v>132</v>
      </c>
      <c r="AN885" t="s">
        <v>3774</v>
      </c>
      <c r="AO885" t="s">
        <v>134</v>
      </c>
      <c r="AP885" t="s">
        <v>3775</v>
      </c>
      <c r="AQ885" t="s">
        <v>74</v>
      </c>
      <c r="AR885" t="s">
        <v>135</v>
      </c>
      <c r="AS885" t="s">
        <v>136</v>
      </c>
      <c r="AT885" t="s">
        <v>11758</v>
      </c>
      <c r="AU885">
        <v>2003</v>
      </c>
      <c r="AV885">
        <v>206</v>
      </c>
      <c r="AW885">
        <v>4</v>
      </c>
      <c r="AX885" t="s">
        <v>74</v>
      </c>
      <c r="AY885" t="s">
        <v>74</v>
      </c>
      <c r="AZ885" t="s">
        <v>74</v>
      </c>
      <c r="BA885" t="s">
        <v>74</v>
      </c>
      <c r="BB885">
        <v>705</v>
      </c>
      <c r="BC885">
        <v>714</v>
      </c>
      <c r="BD885" t="s">
        <v>74</v>
      </c>
      <c r="BE885" t="s">
        <v>12384</v>
      </c>
      <c r="BF885" t="str">
        <f>HYPERLINK("http://dx.doi.org/10.1242/jeb.00145","http://dx.doi.org/10.1242/jeb.00145")</f>
        <v>http://dx.doi.org/10.1242/jeb.00145</v>
      </c>
      <c r="BG885" t="s">
        <v>74</v>
      </c>
      <c r="BH885" t="s">
        <v>74</v>
      </c>
      <c r="BI885">
        <v>10</v>
      </c>
      <c r="BJ885" t="s">
        <v>138</v>
      </c>
      <c r="BK885" t="s">
        <v>94</v>
      </c>
      <c r="BL885" t="s">
        <v>139</v>
      </c>
      <c r="BM885" t="s">
        <v>12385</v>
      </c>
      <c r="BN885">
        <v>12517988</v>
      </c>
      <c r="BO885" t="s">
        <v>154</v>
      </c>
      <c r="BP885" t="s">
        <v>74</v>
      </c>
      <c r="BQ885" t="s">
        <v>74</v>
      </c>
      <c r="BR885" t="s">
        <v>97</v>
      </c>
      <c r="BS885" t="s">
        <v>12386</v>
      </c>
      <c r="BT885" t="str">
        <f>HYPERLINK("https%3A%2F%2Fwww.webofscience.com%2Fwos%2Fwoscc%2Ffull-record%2FWOS:000181179100008","View Full Record in Web of Science")</f>
        <v>View Full Record in Web of Science</v>
      </c>
    </row>
    <row r="886" spans="1:72" x14ac:dyDescent="0.15">
      <c r="A886" t="s">
        <v>72</v>
      </c>
      <c r="B886" t="s">
        <v>12387</v>
      </c>
      <c r="C886" t="s">
        <v>74</v>
      </c>
      <c r="D886" t="s">
        <v>74</v>
      </c>
      <c r="E886" t="s">
        <v>74</v>
      </c>
      <c r="F886" t="s">
        <v>12387</v>
      </c>
      <c r="G886" t="s">
        <v>74</v>
      </c>
      <c r="H886" t="s">
        <v>74</v>
      </c>
      <c r="I886" t="s">
        <v>12388</v>
      </c>
      <c r="J886" t="s">
        <v>12389</v>
      </c>
      <c r="K886" t="s">
        <v>74</v>
      </c>
      <c r="L886" t="s">
        <v>74</v>
      </c>
      <c r="M886" t="s">
        <v>77</v>
      </c>
      <c r="N886" t="s">
        <v>78</v>
      </c>
      <c r="O886" t="s">
        <v>74</v>
      </c>
      <c r="P886" t="s">
        <v>74</v>
      </c>
      <c r="Q886" t="s">
        <v>74</v>
      </c>
      <c r="R886" t="s">
        <v>74</v>
      </c>
      <c r="S886" t="s">
        <v>74</v>
      </c>
      <c r="T886" t="s">
        <v>12390</v>
      </c>
      <c r="U886" t="s">
        <v>12391</v>
      </c>
      <c r="V886" t="s">
        <v>12392</v>
      </c>
      <c r="W886" t="s">
        <v>12393</v>
      </c>
      <c r="X886" t="s">
        <v>12394</v>
      </c>
      <c r="Y886" t="s">
        <v>12054</v>
      </c>
      <c r="Z886" t="s">
        <v>74</v>
      </c>
      <c r="AA886" t="s">
        <v>12395</v>
      </c>
      <c r="AB886" t="s">
        <v>12396</v>
      </c>
      <c r="AC886" t="s">
        <v>74</v>
      </c>
      <c r="AD886" t="s">
        <v>74</v>
      </c>
      <c r="AE886" t="s">
        <v>74</v>
      </c>
      <c r="AF886" t="s">
        <v>74</v>
      </c>
      <c r="AG886">
        <v>84</v>
      </c>
      <c r="AH886">
        <v>31</v>
      </c>
      <c r="AI886">
        <v>37</v>
      </c>
      <c r="AJ886">
        <v>0</v>
      </c>
      <c r="AK886">
        <v>21</v>
      </c>
      <c r="AL886" t="s">
        <v>12397</v>
      </c>
      <c r="AM886" t="s">
        <v>5362</v>
      </c>
      <c r="AN886" t="s">
        <v>12398</v>
      </c>
      <c r="AO886" t="s">
        <v>12399</v>
      </c>
      <c r="AP886" t="s">
        <v>74</v>
      </c>
      <c r="AQ886" t="s">
        <v>74</v>
      </c>
      <c r="AR886" t="s">
        <v>12400</v>
      </c>
      <c r="AS886" t="s">
        <v>12401</v>
      </c>
      <c r="AT886" t="s">
        <v>11758</v>
      </c>
      <c r="AU886">
        <v>2003</v>
      </c>
      <c r="AV886">
        <v>84</v>
      </c>
      <c r="AW886">
        <v>1</v>
      </c>
      <c r="AX886" t="s">
        <v>74</v>
      </c>
      <c r="AY886" t="s">
        <v>74</v>
      </c>
      <c r="AZ886" t="s">
        <v>74</v>
      </c>
      <c r="BA886" t="s">
        <v>74</v>
      </c>
      <c r="BB886">
        <v>65</v>
      </c>
      <c r="BC886">
        <v>80</v>
      </c>
      <c r="BD886" t="s">
        <v>74</v>
      </c>
      <c r="BE886" t="s">
        <v>12402</v>
      </c>
      <c r="BF886" t="str">
        <f>HYPERLINK("http://dx.doi.org/10.1644/1545-1542(2003)084&lt;0065:ESACPO&gt;2.0.CO;2","http://dx.doi.org/10.1644/1545-1542(2003)084&lt;0065:ESACPO&gt;2.0.CO;2")</f>
        <v>http://dx.doi.org/10.1644/1545-1542(2003)084&lt;0065:ESACPO&gt;2.0.CO;2</v>
      </c>
      <c r="BG886" t="s">
        <v>74</v>
      </c>
      <c r="BH886" t="s">
        <v>74</v>
      </c>
      <c r="BI886">
        <v>16</v>
      </c>
      <c r="BJ886" t="s">
        <v>258</v>
      </c>
      <c r="BK886" t="s">
        <v>94</v>
      </c>
      <c r="BL886" t="s">
        <v>258</v>
      </c>
      <c r="BM886" t="s">
        <v>12403</v>
      </c>
      <c r="BN886" t="s">
        <v>74</v>
      </c>
      <c r="BO886" t="s">
        <v>74</v>
      </c>
      <c r="BP886" t="s">
        <v>74</v>
      </c>
      <c r="BQ886" t="s">
        <v>74</v>
      </c>
      <c r="BR886" t="s">
        <v>97</v>
      </c>
      <c r="BS886" t="s">
        <v>12404</v>
      </c>
      <c r="BT886" t="str">
        <f>HYPERLINK("https%3A%2F%2Fwww.webofscience.com%2Fwos%2Fwoscc%2Ffull-record%2FWOS:000181414700006","View Full Record in Web of Science")</f>
        <v>View Full Record in Web of Science</v>
      </c>
    </row>
    <row r="887" spans="1:72" x14ac:dyDescent="0.15">
      <c r="A887" t="s">
        <v>72</v>
      </c>
      <c r="B887" t="s">
        <v>12405</v>
      </c>
      <c r="C887" t="s">
        <v>74</v>
      </c>
      <c r="D887" t="s">
        <v>74</v>
      </c>
      <c r="E887" t="s">
        <v>74</v>
      </c>
      <c r="F887" t="s">
        <v>12405</v>
      </c>
      <c r="G887" t="s">
        <v>74</v>
      </c>
      <c r="H887" t="s">
        <v>74</v>
      </c>
      <c r="I887" t="s">
        <v>12406</v>
      </c>
      <c r="J887" t="s">
        <v>5203</v>
      </c>
      <c r="K887" t="s">
        <v>74</v>
      </c>
      <c r="L887" t="s">
        <v>74</v>
      </c>
      <c r="M887" t="s">
        <v>77</v>
      </c>
      <c r="N887" t="s">
        <v>78</v>
      </c>
      <c r="O887" t="s">
        <v>74</v>
      </c>
      <c r="P887" t="s">
        <v>74</v>
      </c>
      <c r="Q887" t="s">
        <v>74</v>
      </c>
      <c r="R887" t="s">
        <v>74</v>
      </c>
      <c r="S887" t="s">
        <v>74</v>
      </c>
      <c r="T887" t="s">
        <v>12407</v>
      </c>
      <c r="U887" t="s">
        <v>12408</v>
      </c>
      <c r="V887" t="s">
        <v>12409</v>
      </c>
      <c r="W887" t="s">
        <v>12410</v>
      </c>
      <c r="X887" t="s">
        <v>11333</v>
      </c>
      <c r="Y887" t="s">
        <v>12411</v>
      </c>
      <c r="Z887" t="s">
        <v>12412</v>
      </c>
      <c r="AA887" t="s">
        <v>12413</v>
      </c>
      <c r="AB887" t="s">
        <v>12414</v>
      </c>
      <c r="AC887" t="s">
        <v>74</v>
      </c>
      <c r="AD887" t="s">
        <v>74</v>
      </c>
      <c r="AE887" t="s">
        <v>74</v>
      </c>
      <c r="AF887" t="s">
        <v>74</v>
      </c>
      <c r="AG887">
        <v>46</v>
      </c>
      <c r="AH887">
        <v>46</v>
      </c>
      <c r="AI887">
        <v>54</v>
      </c>
      <c r="AJ887">
        <v>0</v>
      </c>
      <c r="AK887">
        <v>6</v>
      </c>
      <c r="AL887" t="s">
        <v>110</v>
      </c>
      <c r="AM887" t="s">
        <v>111</v>
      </c>
      <c r="AN887" t="s">
        <v>112</v>
      </c>
      <c r="AO887" t="s">
        <v>5210</v>
      </c>
      <c r="AP887" t="s">
        <v>74</v>
      </c>
      <c r="AQ887" t="s">
        <v>74</v>
      </c>
      <c r="AR887" t="s">
        <v>5212</v>
      </c>
      <c r="AS887" t="s">
        <v>5213</v>
      </c>
      <c r="AT887" t="s">
        <v>11758</v>
      </c>
      <c r="AU887">
        <v>2003</v>
      </c>
      <c r="AV887">
        <v>39</v>
      </c>
      <c r="AW887" t="s">
        <v>787</v>
      </c>
      <c r="AX887" t="s">
        <v>74</v>
      </c>
      <c r="AY887" t="s">
        <v>74</v>
      </c>
      <c r="AZ887" t="s">
        <v>74</v>
      </c>
      <c r="BA887" t="s">
        <v>74</v>
      </c>
      <c r="BB887">
        <v>1</v>
      </c>
      <c r="BC887">
        <v>18</v>
      </c>
      <c r="BD887" t="s">
        <v>74</v>
      </c>
      <c r="BE887" t="s">
        <v>12415</v>
      </c>
      <c r="BF887" t="str">
        <f>HYPERLINK("http://dx.doi.org/10.1016/S0924-7963(02)00243-9","http://dx.doi.org/10.1016/S0924-7963(02)00243-9")</f>
        <v>http://dx.doi.org/10.1016/S0924-7963(02)00243-9</v>
      </c>
      <c r="BG887" t="s">
        <v>74</v>
      </c>
      <c r="BH887" t="s">
        <v>74</v>
      </c>
      <c r="BI887">
        <v>18</v>
      </c>
      <c r="BJ887" t="s">
        <v>5215</v>
      </c>
      <c r="BK887" t="s">
        <v>94</v>
      </c>
      <c r="BL887" t="s">
        <v>5216</v>
      </c>
      <c r="BM887" t="s">
        <v>12416</v>
      </c>
      <c r="BN887" t="s">
        <v>74</v>
      </c>
      <c r="BO887" t="s">
        <v>74</v>
      </c>
      <c r="BP887" t="s">
        <v>74</v>
      </c>
      <c r="BQ887" t="s">
        <v>74</v>
      </c>
      <c r="BR887" t="s">
        <v>97</v>
      </c>
      <c r="BS887" t="s">
        <v>12417</v>
      </c>
      <c r="BT887" t="str">
        <f>HYPERLINK("https%3A%2F%2Fwww.webofscience.com%2Fwos%2Fwoscc%2Ffull-record%2FWOS:000180812400001","View Full Record in Web of Science")</f>
        <v>View Full Record in Web of Science</v>
      </c>
    </row>
    <row r="888" spans="1:72" x14ac:dyDescent="0.15">
      <c r="A888" t="s">
        <v>72</v>
      </c>
      <c r="B888" t="s">
        <v>12418</v>
      </c>
      <c r="C888" t="s">
        <v>74</v>
      </c>
      <c r="D888" t="s">
        <v>74</v>
      </c>
      <c r="E888" t="s">
        <v>74</v>
      </c>
      <c r="F888" t="s">
        <v>12418</v>
      </c>
      <c r="G888" t="s">
        <v>74</v>
      </c>
      <c r="H888" t="s">
        <v>74</v>
      </c>
      <c r="I888" t="s">
        <v>12419</v>
      </c>
      <c r="J888" t="s">
        <v>3855</v>
      </c>
      <c r="K888" t="s">
        <v>74</v>
      </c>
      <c r="L888" t="s">
        <v>74</v>
      </c>
      <c r="M888" t="s">
        <v>77</v>
      </c>
      <c r="N888" t="s">
        <v>78</v>
      </c>
      <c r="O888" t="s">
        <v>74</v>
      </c>
      <c r="P888" t="s">
        <v>74</v>
      </c>
      <c r="Q888" t="s">
        <v>74</v>
      </c>
      <c r="R888" t="s">
        <v>74</v>
      </c>
      <c r="S888" t="s">
        <v>74</v>
      </c>
      <c r="T888" t="s">
        <v>12420</v>
      </c>
      <c r="U888" t="s">
        <v>12421</v>
      </c>
      <c r="V888" t="s">
        <v>12422</v>
      </c>
      <c r="W888" t="s">
        <v>12423</v>
      </c>
      <c r="X888" t="s">
        <v>12424</v>
      </c>
      <c r="Y888" t="s">
        <v>12425</v>
      </c>
      <c r="Z888" t="s">
        <v>12426</v>
      </c>
      <c r="AA888" t="s">
        <v>12427</v>
      </c>
      <c r="AB888" t="s">
        <v>12428</v>
      </c>
      <c r="AC888" t="s">
        <v>74</v>
      </c>
      <c r="AD888" t="s">
        <v>74</v>
      </c>
      <c r="AE888" t="s">
        <v>74</v>
      </c>
      <c r="AF888" t="s">
        <v>74</v>
      </c>
      <c r="AG888">
        <v>55</v>
      </c>
      <c r="AH888">
        <v>7</v>
      </c>
      <c r="AI888">
        <v>7</v>
      </c>
      <c r="AJ888">
        <v>0</v>
      </c>
      <c r="AK888">
        <v>3</v>
      </c>
      <c r="AL888" t="s">
        <v>250</v>
      </c>
      <c r="AM888" t="s">
        <v>251</v>
      </c>
      <c r="AN888" t="s">
        <v>252</v>
      </c>
      <c r="AO888" t="s">
        <v>3865</v>
      </c>
      <c r="AP888" t="s">
        <v>12429</v>
      </c>
      <c r="AQ888" t="s">
        <v>74</v>
      </c>
      <c r="AR888" t="s">
        <v>3866</v>
      </c>
      <c r="AS888" t="s">
        <v>3867</v>
      </c>
      <c r="AT888" t="s">
        <v>11758</v>
      </c>
      <c r="AU888">
        <v>2003</v>
      </c>
      <c r="AV888">
        <v>39</v>
      </c>
      <c r="AW888">
        <v>1</v>
      </c>
      <c r="AX888" t="s">
        <v>74</v>
      </c>
      <c r="AY888" t="s">
        <v>74</v>
      </c>
      <c r="AZ888" t="s">
        <v>74</v>
      </c>
      <c r="BA888" t="s">
        <v>74</v>
      </c>
      <c r="BB888">
        <v>198</v>
      </c>
      <c r="BC888">
        <v>212</v>
      </c>
      <c r="BD888" t="s">
        <v>74</v>
      </c>
      <c r="BE888" t="s">
        <v>12430</v>
      </c>
      <c r="BF888" t="str">
        <f>HYPERLINK("http://dx.doi.org/10.1046/j.1529-8817.2003.02037.x","http://dx.doi.org/10.1046/j.1529-8817.2003.02037.x")</f>
        <v>http://dx.doi.org/10.1046/j.1529-8817.2003.02037.x</v>
      </c>
      <c r="BG888" t="s">
        <v>74</v>
      </c>
      <c r="BH888" t="s">
        <v>74</v>
      </c>
      <c r="BI888">
        <v>15</v>
      </c>
      <c r="BJ888" t="s">
        <v>3869</v>
      </c>
      <c r="BK888" t="s">
        <v>94</v>
      </c>
      <c r="BL888" t="s">
        <v>3869</v>
      </c>
      <c r="BM888" t="s">
        <v>12431</v>
      </c>
      <c r="BN888" t="s">
        <v>74</v>
      </c>
      <c r="BO888" t="s">
        <v>74</v>
      </c>
      <c r="BP888" t="s">
        <v>74</v>
      </c>
      <c r="BQ888" t="s">
        <v>74</v>
      </c>
      <c r="BR888" t="s">
        <v>97</v>
      </c>
      <c r="BS888" t="s">
        <v>12432</v>
      </c>
      <c r="BT888" t="str">
        <f>HYPERLINK("https%3A%2F%2Fwww.webofscience.com%2Fwos%2Fwoscc%2Ffull-record%2FWOS:000180800900019","View Full Record in Web of Science")</f>
        <v>View Full Record in Web of Science</v>
      </c>
    </row>
    <row r="889" spans="1:72" x14ac:dyDescent="0.15">
      <c r="A889" t="s">
        <v>72</v>
      </c>
      <c r="B889" t="s">
        <v>12433</v>
      </c>
      <c r="C889" t="s">
        <v>74</v>
      </c>
      <c r="D889" t="s">
        <v>74</v>
      </c>
      <c r="E889" t="s">
        <v>74</v>
      </c>
      <c r="F889" t="s">
        <v>12433</v>
      </c>
      <c r="G889" t="s">
        <v>74</v>
      </c>
      <c r="H889" t="s">
        <v>74</v>
      </c>
      <c r="I889" t="s">
        <v>12434</v>
      </c>
      <c r="J889" t="s">
        <v>3874</v>
      </c>
      <c r="K889" t="s">
        <v>74</v>
      </c>
      <c r="L889" t="s">
        <v>74</v>
      </c>
      <c r="M889" t="s">
        <v>77</v>
      </c>
      <c r="N889" t="s">
        <v>78</v>
      </c>
      <c r="O889" t="s">
        <v>74</v>
      </c>
      <c r="P889" t="s">
        <v>74</v>
      </c>
      <c r="Q889" t="s">
        <v>74</v>
      </c>
      <c r="R889" t="s">
        <v>74</v>
      </c>
      <c r="S889" t="s">
        <v>74</v>
      </c>
      <c r="T889" t="s">
        <v>74</v>
      </c>
      <c r="U889" t="s">
        <v>12435</v>
      </c>
      <c r="V889" t="s">
        <v>12436</v>
      </c>
      <c r="W889" t="s">
        <v>12437</v>
      </c>
      <c r="X889" t="s">
        <v>3031</v>
      </c>
      <c r="Y889" t="s">
        <v>12438</v>
      </c>
      <c r="Z889" t="s">
        <v>74</v>
      </c>
      <c r="AA889" t="s">
        <v>74</v>
      </c>
      <c r="AB889" t="s">
        <v>74</v>
      </c>
      <c r="AC889" t="s">
        <v>74</v>
      </c>
      <c r="AD889" t="s">
        <v>74</v>
      </c>
      <c r="AE889" t="s">
        <v>74</v>
      </c>
      <c r="AF889" t="s">
        <v>74</v>
      </c>
      <c r="AG889">
        <v>32</v>
      </c>
      <c r="AH889">
        <v>46</v>
      </c>
      <c r="AI889">
        <v>47</v>
      </c>
      <c r="AJ889">
        <v>0</v>
      </c>
      <c r="AK889">
        <v>8</v>
      </c>
      <c r="AL889" t="s">
        <v>85</v>
      </c>
      <c r="AM889" t="s">
        <v>86</v>
      </c>
      <c r="AN889" t="s">
        <v>87</v>
      </c>
      <c r="AO889" t="s">
        <v>3878</v>
      </c>
      <c r="AP889" t="s">
        <v>74</v>
      </c>
      <c r="AQ889" t="s">
        <v>74</v>
      </c>
      <c r="AR889" t="s">
        <v>3879</v>
      </c>
      <c r="AS889" t="s">
        <v>3880</v>
      </c>
      <c r="AT889" t="s">
        <v>11758</v>
      </c>
      <c r="AU889">
        <v>2003</v>
      </c>
      <c r="AV889">
        <v>33</v>
      </c>
      <c r="AW889">
        <v>2</v>
      </c>
      <c r="AX889" t="s">
        <v>74</v>
      </c>
      <c r="AY889" t="s">
        <v>74</v>
      </c>
      <c r="AZ889" t="s">
        <v>74</v>
      </c>
      <c r="BA889" t="s">
        <v>74</v>
      </c>
      <c r="BB889">
        <v>436</v>
      </c>
      <c r="BC889">
        <v>449</v>
      </c>
      <c r="BD889" t="s">
        <v>74</v>
      </c>
      <c r="BE889" t="s">
        <v>12439</v>
      </c>
      <c r="BF889" t="str">
        <f>HYPERLINK("http://dx.doi.org/10.1175/1520-0485(2003)033&lt;0436:WFISLV&gt;2.0.CO;2","http://dx.doi.org/10.1175/1520-0485(2003)033&lt;0436:WFISLV&gt;2.0.CO;2")</f>
        <v>http://dx.doi.org/10.1175/1520-0485(2003)033&lt;0436:WFISLV&gt;2.0.CO;2</v>
      </c>
      <c r="BG889" t="s">
        <v>74</v>
      </c>
      <c r="BH889" t="s">
        <v>74</v>
      </c>
      <c r="BI889">
        <v>14</v>
      </c>
      <c r="BJ889" t="s">
        <v>678</v>
      </c>
      <c r="BK889" t="s">
        <v>94</v>
      </c>
      <c r="BL889" t="s">
        <v>678</v>
      </c>
      <c r="BM889" t="s">
        <v>12440</v>
      </c>
      <c r="BN889" t="s">
        <v>74</v>
      </c>
      <c r="BO889" t="s">
        <v>759</v>
      </c>
      <c r="BP889" t="s">
        <v>74</v>
      </c>
      <c r="BQ889" t="s">
        <v>74</v>
      </c>
      <c r="BR889" t="s">
        <v>97</v>
      </c>
      <c r="BS889" t="s">
        <v>12441</v>
      </c>
      <c r="BT889" t="str">
        <f>HYPERLINK("https%3A%2F%2Fwww.webofscience.com%2Fwos%2Fwoscc%2Ffull-record%2FWOS:000180827000008","View Full Record in Web of Science")</f>
        <v>View Full Record in Web of Science</v>
      </c>
    </row>
    <row r="890" spans="1:72" x14ac:dyDescent="0.15">
      <c r="A890" t="s">
        <v>72</v>
      </c>
      <c r="B890" t="s">
        <v>12442</v>
      </c>
      <c r="C890" t="s">
        <v>74</v>
      </c>
      <c r="D890" t="s">
        <v>74</v>
      </c>
      <c r="E890" t="s">
        <v>74</v>
      </c>
      <c r="F890" t="s">
        <v>12442</v>
      </c>
      <c r="G890" t="s">
        <v>74</v>
      </c>
      <c r="H890" t="s">
        <v>74</v>
      </c>
      <c r="I890" t="s">
        <v>12443</v>
      </c>
      <c r="J890" t="s">
        <v>182</v>
      </c>
      <c r="K890" t="s">
        <v>74</v>
      </c>
      <c r="L890" t="s">
        <v>74</v>
      </c>
      <c r="M890" t="s">
        <v>77</v>
      </c>
      <c r="N890" t="s">
        <v>78</v>
      </c>
      <c r="O890" t="s">
        <v>74</v>
      </c>
      <c r="P890" t="s">
        <v>74</v>
      </c>
      <c r="Q890" t="s">
        <v>74</v>
      </c>
      <c r="R890" t="s">
        <v>74</v>
      </c>
      <c r="S890" t="s">
        <v>74</v>
      </c>
      <c r="T890" t="s">
        <v>74</v>
      </c>
      <c r="U890" t="s">
        <v>12444</v>
      </c>
      <c r="V890" t="s">
        <v>12445</v>
      </c>
      <c r="W890" t="s">
        <v>12446</v>
      </c>
      <c r="X890" t="s">
        <v>12447</v>
      </c>
      <c r="Y890" t="s">
        <v>12448</v>
      </c>
      <c r="Z890" t="s">
        <v>74</v>
      </c>
      <c r="AA890" t="s">
        <v>74</v>
      </c>
      <c r="AB890" t="s">
        <v>12449</v>
      </c>
      <c r="AC890" t="s">
        <v>74</v>
      </c>
      <c r="AD890" t="s">
        <v>74</v>
      </c>
      <c r="AE890" t="s">
        <v>74</v>
      </c>
      <c r="AF890" t="s">
        <v>74</v>
      </c>
      <c r="AG890">
        <v>25</v>
      </c>
      <c r="AH890">
        <v>71</v>
      </c>
      <c r="AI890">
        <v>76</v>
      </c>
      <c r="AJ890">
        <v>0</v>
      </c>
      <c r="AK890">
        <v>16</v>
      </c>
      <c r="AL890" t="s">
        <v>188</v>
      </c>
      <c r="AM890" t="s">
        <v>170</v>
      </c>
      <c r="AN890" t="s">
        <v>189</v>
      </c>
      <c r="AO890" t="s">
        <v>190</v>
      </c>
      <c r="AP890" t="s">
        <v>74</v>
      </c>
      <c r="AQ890" t="s">
        <v>74</v>
      </c>
      <c r="AR890" t="s">
        <v>191</v>
      </c>
      <c r="AS890" t="s">
        <v>192</v>
      </c>
      <c r="AT890" t="s">
        <v>11758</v>
      </c>
      <c r="AU890">
        <v>2003</v>
      </c>
      <c r="AV890">
        <v>25</v>
      </c>
      <c r="AW890">
        <v>2</v>
      </c>
      <c r="AX890" t="s">
        <v>74</v>
      </c>
      <c r="AY890" t="s">
        <v>74</v>
      </c>
      <c r="AZ890" t="s">
        <v>74</v>
      </c>
      <c r="BA890" t="s">
        <v>74</v>
      </c>
      <c r="BB890">
        <v>121</v>
      </c>
      <c r="BC890">
        <v>140</v>
      </c>
      <c r="BD890" t="s">
        <v>74</v>
      </c>
      <c r="BE890" t="s">
        <v>12450</v>
      </c>
      <c r="BF890" t="str">
        <f>HYPERLINK("http://dx.doi.org/10.1093/plankt/25.2.121","http://dx.doi.org/10.1093/plankt/25.2.121")</f>
        <v>http://dx.doi.org/10.1093/plankt/25.2.121</v>
      </c>
      <c r="BG890" t="s">
        <v>74</v>
      </c>
      <c r="BH890" t="s">
        <v>74</v>
      </c>
      <c r="BI890">
        <v>20</v>
      </c>
      <c r="BJ890" t="s">
        <v>194</v>
      </c>
      <c r="BK890" t="s">
        <v>94</v>
      </c>
      <c r="BL890" t="s">
        <v>194</v>
      </c>
      <c r="BM890" t="s">
        <v>12451</v>
      </c>
      <c r="BN890" t="s">
        <v>74</v>
      </c>
      <c r="BO890" t="s">
        <v>96</v>
      </c>
      <c r="BP890" t="s">
        <v>74</v>
      </c>
      <c r="BQ890" t="s">
        <v>74</v>
      </c>
      <c r="BR890" t="s">
        <v>97</v>
      </c>
      <c r="BS890" t="s">
        <v>12452</v>
      </c>
      <c r="BT890" t="str">
        <f>HYPERLINK("https%3A%2F%2Fwww.webofscience.com%2Fwos%2Fwoscc%2Ffull-record%2FWOS:000181403800001","View Full Record in Web of Science")</f>
        <v>View Full Record in Web of Science</v>
      </c>
    </row>
    <row r="891" spans="1:72" x14ac:dyDescent="0.15">
      <c r="A891" t="s">
        <v>72</v>
      </c>
      <c r="B891" t="s">
        <v>12453</v>
      </c>
      <c r="C891" t="s">
        <v>74</v>
      </c>
      <c r="D891" t="s">
        <v>74</v>
      </c>
      <c r="E891" t="s">
        <v>74</v>
      </c>
      <c r="F891" t="s">
        <v>12453</v>
      </c>
      <c r="G891" t="s">
        <v>74</v>
      </c>
      <c r="H891" t="s">
        <v>74</v>
      </c>
      <c r="I891" t="s">
        <v>12454</v>
      </c>
      <c r="J891" t="s">
        <v>221</v>
      </c>
      <c r="K891" t="s">
        <v>74</v>
      </c>
      <c r="L891" t="s">
        <v>74</v>
      </c>
      <c r="M891" t="s">
        <v>77</v>
      </c>
      <c r="N891" t="s">
        <v>78</v>
      </c>
      <c r="O891" t="s">
        <v>74</v>
      </c>
      <c r="P891" t="s">
        <v>74</v>
      </c>
      <c r="Q891" t="s">
        <v>74</v>
      </c>
      <c r="R891" t="s">
        <v>74</v>
      </c>
      <c r="S891" t="s">
        <v>74</v>
      </c>
      <c r="T891" t="s">
        <v>74</v>
      </c>
      <c r="U891" t="s">
        <v>12455</v>
      </c>
      <c r="V891" t="s">
        <v>12456</v>
      </c>
      <c r="W891" t="s">
        <v>12457</v>
      </c>
      <c r="X891" t="s">
        <v>12458</v>
      </c>
      <c r="Y891" t="s">
        <v>12459</v>
      </c>
      <c r="Z891" t="s">
        <v>12460</v>
      </c>
      <c r="AA891" t="s">
        <v>74</v>
      </c>
      <c r="AB891" t="s">
        <v>12461</v>
      </c>
      <c r="AC891" t="s">
        <v>74</v>
      </c>
      <c r="AD891" t="s">
        <v>74</v>
      </c>
      <c r="AE891" t="s">
        <v>74</v>
      </c>
      <c r="AF891" t="s">
        <v>74</v>
      </c>
      <c r="AG891">
        <v>36</v>
      </c>
      <c r="AH891">
        <v>26</v>
      </c>
      <c r="AI891">
        <v>26</v>
      </c>
      <c r="AJ891">
        <v>0</v>
      </c>
      <c r="AK891">
        <v>10</v>
      </c>
      <c r="AL891" t="s">
        <v>228</v>
      </c>
      <c r="AM891" t="s">
        <v>229</v>
      </c>
      <c r="AN891" t="s">
        <v>1170</v>
      </c>
      <c r="AO891" t="s">
        <v>231</v>
      </c>
      <c r="AP891" t="s">
        <v>3918</v>
      </c>
      <c r="AQ891" t="s">
        <v>74</v>
      </c>
      <c r="AR891" t="s">
        <v>232</v>
      </c>
      <c r="AS891" t="s">
        <v>233</v>
      </c>
      <c r="AT891" t="s">
        <v>11758</v>
      </c>
      <c r="AU891">
        <v>2003</v>
      </c>
      <c r="AV891">
        <v>83</v>
      </c>
      <c r="AW891">
        <v>1</v>
      </c>
      <c r="AX891" t="s">
        <v>74</v>
      </c>
      <c r="AY891" t="s">
        <v>74</v>
      </c>
      <c r="AZ891" t="s">
        <v>74</v>
      </c>
      <c r="BA891" t="s">
        <v>74</v>
      </c>
      <c r="BB891">
        <v>1</v>
      </c>
      <c r="BC891">
        <v>9</v>
      </c>
      <c r="BD891" t="s">
        <v>74</v>
      </c>
      <c r="BE891" t="s">
        <v>12462</v>
      </c>
      <c r="BF891" t="str">
        <f>HYPERLINK("http://dx.doi.org/10.1017/S0025315403006726h","http://dx.doi.org/10.1017/S0025315403006726h")</f>
        <v>http://dx.doi.org/10.1017/S0025315403006726h</v>
      </c>
      <c r="BG891" t="s">
        <v>74</v>
      </c>
      <c r="BH891" t="s">
        <v>74</v>
      </c>
      <c r="BI891">
        <v>9</v>
      </c>
      <c r="BJ891" t="s">
        <v>235</v>
      </c>
      <c r="BK891" t="s">
        <v>94</v>
      </c>
      <c r="BL891" t="s">
        <v>235</v>
      </c>
      <c r="BM891" t="s">
        <v>12463</v>
      </c>
      <c r="BN891" t="s">
        <v>74</v>
      </c>
      <c r="BO891" t="s">
        <v>74</v>
      </c>
      <c r="BP891" t="s">
        <v>74</v>
      </c>
      <c r="BQ891" t="s">
        <v>74</v>
      </c>
      <c r="BR891" t="s">
        <v>97</v>
      </c>
      <c r="BS891" t="s">
        <v>12464</v>
      </c>
      <c r="BT891" t="str">
        <f>HYPERLINK("https%3A%2F%2Fwww.webofscience.com%2Fwos%2Fwoscc%2Ffull-record%2FWOS:000181637500001","View Full Record in Web of Science")</f>
        <v>View Full Record in Web of Science</v>
      </c>
    </row>
    <row r="892" spans="1:72" x14ac:dyDescent="0.15">
      <c r="A892" t="s">
        <v>72</v>
      </c>
      <c r="B892" t="s">
        <v>12465</v>
      </c>
      <c r="C892" t="s">
        <v>74</v>
      </c>
      <c r="D892" t="s">
        <v>74</v>
      </c>
      <c r="E892" t="s">
        <v>74</v>
      </c>
      <c r="F892" t="s">
        <v>12465</v>
      </c>
      <c r="G892" t="s">
        <v>74</v>
      </c>
      <c r="H892" t="s">
        <v>74</v>
      </c>
      <c r="I892" t="s">
        <v>12466</v>
      </c>
      <c r="J892" t="s">
        <v>3934</v>
      </c>
      <c r="K892" t="s">
        <v>74</v>
      </c>
      <c r="L892" t="s">
        <v>74</v>
      </c>
      <c r="M892" t="s">
        <v>77</v>
      </c>
      <c r="N892" t="s">
        <v>78</v>
      </c>
      <c r="O892" t="s">
        <v>74</v>
      </c>
      <c r="P892" t="s">
        <v>74</v>
      </c>
      <c r="Q892" t="s">
        <v>74</v>
      </c>
      <c r="R892" t="s">
        <v>74</v>
      </c>
      <c r="S892" t="s">
        <v>74</v>
      </c>
      <c r="T892" t="s">
        <v>74</v>
      </c>
      <c r="U892" t="s">
        <v>12467</v>
      </c>
      <c r="V892" t="s">
        <v>12468</v>
      </c>
      <c r="W892" t="s">
        <v>12469</v>
      </c>
      <c r="X892" t="s">
        <v>12470</v>
      </c>
      <c r="Y892" t="s">
        <v>12471</v>
      </c>
      <c r="Z892" t="s">
        <v>12472</v>
      </c>
      <c r="AA892" t="s">
        <v>12473</v>
      </c>
      <c r="AB892" t="s">
        <v>12474</v>
      </c>
      <c r="AC892" t="s">
        <v>74</v>
      </c>
      <c r="AD892" t="s">
        <v>74</v>
      </c>
      <c r="AE892" t="s">
        <v>74</v>
      </c>
      <c r="AF892" t="s">
        <v>74</v>
      </c>
      <c r="AG892">
        <v>26</v>
      </c>
      <c r="AH892">
        <v>3</v>
      </c>
      <c r="AI892">
        <v>5</v>
      </c>
      <c r="AJ892">
        <v>0</v>
      </c>
      <c r="AK892">
        <v>5</v>
      </c>
      <c r="AL892" t="s">
        <v>12475</v>
      </c>
      <c r="AM892" t="s">
        <v>520</v>
      </c>
      <c r="AN892" t="s">
        <v>12476</v>
      </c>
      <c r="AO892" t="s">
        <v>3944</v>
      </c>
      <c r="AP892" t="s">
        <v>12477</v>
      </c>
      <c r="AQ892" t="s">
        <v>74</v>
      </c>
      <c r="AR892" t="s">
        <v>3945</v>
      </c>
      <c r="AS892" t="s">
        <v>3946</v>
      </c>
      <c r="AT892" t="s">
        <v>11758</v>
      </c>
      <c r="AU892">
        <v>2003</v>
      </c>
      <c r="AV892">
        <v>81</v>
      </c>
      <c r="AW892">
        <v>1</v>
      </c>
      <c r="AX892" t="s">
        <v>74</v>
      </c>
      <c r="AY892" t="s">
        <v>74</v>
      </c>
      <c r="AZ892" t="s">
        <v>74</v>
      </c>
      <c r="BA892" t="s">
        <v>74</v>
      </c>
      <c r="BB892">
        <v>151</v>
      </c>
      <c r="BC892">
        <v>162</v>
      </c>
      <c r="BD892" t="s">
        <v>74</v>
      </c>
      <c r="BE892" t="s">
        <v>12478</v>
      </c>
      <c r="BF892" t="str">
        <f>HYPERLINK("http://dx.doi.org/10.2151/jmsj.81.151","http://dx.doi.org/10.2151/jmsj.81.151")</f>
        <v>http://dx.doi.org/10.2151/jmsj.81.151</v>
      </c>
      <c r="BG892" t="s">
        <v>74</v>
      </c>
      <c r="BH892" t="s">
        <v>74</v>
      </c>
      <c r="BI892">
        <v>12</v>
      </c>
      <c r="BJ892" t="s">
        <v>93</v>
      </c>
      <c r="BK892" t="s">
        <v>94</v>
      </c>
      <c r="BL892" t="s">
        <v>93</v>
      </c>
      <c r="BM892" t="s">
        <v>12479</v>
      </c>
      <c r="BN892" t="s">
        <v>74</v>
      </c>
      <c r="BO892" t="s">
        <v>96</v>
      </c>
      <c r="BP892" t="s">
        <v>74</v>
      </c>
      <c r="BQ892" t="s">
        <v>74</v>
      </c>
      <c r="BR892" t="s">
        <v>97</v>
      </c>
      <c r="BS892" t="s">
        <v>12480</v>
      </c>
      <c r="BT892" t="str">
        <f>HYPERLINK("https%3A%2F%2Fwww.webofscience.com%2Fwos%2Fwoscc%2Ffull-record%2FWOS:000182275700010","View Full Record in Web of Science")</f>
        <v>View Full Record in Web of Science</v>
      </c>
    </row>
    <row r="893" spans="1:72" x14ac:dyDescent="0.15">
      <c r="A893" t="s">
        <v>72</v>
      </c>
      <c r="B893" t="s">
        <v>12481</v>
      </c>
      <c r="C893" t="s">
        <v>74</v>
      </c>
      <c r="D893" t="s">
        <v>74</v>
      </c>
      <c r="E893" t="s">
        <v>74</v>
      </c>
      <c r="F893" t="s">
        <v>12481</v>
      </c>
      <c r="G893" t="s">
        <v>74</v>
      </c>
      <c r="H893" t="s">
        <v>74</v>
      </c>
      <c r="I893" t="s">
        <v>12482</v>
      </c>
      <c r="J893" t="s">
        <v>2177</v>
      </c>
      <c r="K893" t="s">
        <v>74</v>
      </c>
      <c r="L893" t="s">
        <v>74</v>
      </c>
      <c r="M893" t="s">
        <v>77</v>
      </c>
      <c r="N893" t="s">
        <v>78</v>
      </c>
      <c r="O893" t="s">
        <v>74</v>
      </c>
      <c r="P893" t="s">
        <v>74</v>
      </c>
      <c r="Q893" t="s">
        <v>74</v>
      </c>
      <c r="R893" t="s">
        <v>74</v>
      </c>
      <c r="S893" t="s">
        <v>74</v>
      </c>
      <c r="T893" t="s">
        <v>74</v>
      </c>
      <c r="U893" t="s">
        <v>12483</v>
      </c>
      <c r="V893" t="s">
        <v>12484</v>
      </c>
      <c r="W893" t="s">
        <v>12485</v>
      </c>
      <c r="X893" t="s">
        <v>12486</v>
      </c>
      <c r="Y893" t="s">
        <v>12487</v>
      </c>
      <c r="Z893" t="s">
        <v>12488</v>
      </c>
      <c r="AA893" t="s">
        <v>12489</v>
      </c>
      <c r="AB893" t="s">
        <v>12490</v>
      </c>
      <c r="AC893" t="s">
        <v>74</v>
      </c>
      <c r="AD893" t="s">
        <v>74</v>
      </c>
      <c r="AE893" t="s">
        <v>74</v>
      </c>
      <c r="AF893" t="s">
        <v>74</v>
      </c>
      <c r="AG893">
        <v>78</v>
      </c>
      <c r="AH893">
        <v>35</v>
      </c>
      <c r="AI893">
        <v>37</v>
      </c>
      <c r="AJ893">
        <v>0</v>
      </c>
      <c r="AK893">
        <v>6</v>
      </c>
      <c r="AL893" t="s">
        <v>2185</v>
      </c>
      <c r="AM893" t="s">
        <v>2186</v>
      </c>
      <c r="AN893" t="s">
        <v>2187</v>
      </c>
      <c r="AO893" t="s">
        <v>2188</v>
      </c>
      <c r="AP893" t="s">
        <v>2189</v>
      </c>
      <c r="AQ893" t="s">
        <v>74</v>
      </c>
      <c r="AR893" t="s">
        <v>2190</v>
      </c>
      <c r="AS893" t="s">
        <v>2191</v>
      </c>
      <c r="AT893" t="s">
        <v>11758</v>
      </c>
      <c r="AU893">
        <v>2003</v>
      </c>
      <c r="AV893">
        <v>142</v>
      </c>
      <c r="AW893">
        <v>2</v>
      </c>
      <c r="AX893" t="s">
        <v>74</v>
      </c>
      <c r="AY893" t="s">
        <v>74</v>
      </c>
      <c r="AZ893" t="s">
        <v>74</v>
      </c>
      <c r="BA893" t="s">
        <v>74</v>
      </c>
      <c r="BB893">
        <v>357</v>
      </c>
      <c r="BC893">
        <v>367</v>
      </c>
      <c r="BD893" t="s">
        <v>74</v>
      </c>
      <c r="BE893" t="s">
        <v>12491</v>
      </c>
      <c r="BF893" t="str">
        <f>HYPERLINK("http://dx.doi.org/10.1007/s00227-002-0963-x","http://dx.doi.org/10.1007/s00227-002-0963-x")</f>
        <v>http://dx.doi.org/10.1007/s00227-002-0963-x</v>
      </c>
      <c r="BG893" t="s">
        <v>74</v>
      </c>
      <c r="BH893" t="s">
        <v>74</v>
      </c>
      <c r="BI893">
        <v>11</v>
      </c>
      <c r="BJ893" t="s">
        <v>235</v>
      </c>
      <c r="BK893" t="s">
        <v>94</v>
      </c>
      <c r="BL893" t="s">
        <v>235</v>
      </c>
      <c r="BM893" t="s">
        <v>12492</v>
      </c>
      <c r="BN893" t="s">
        <v>74</v>
      </c>
      <c r="BO893" t="s">
        <v>74</v>
      </c>
      <c r="BP893" t="s">
        <v>74</v>
      </c>
      <c r="BQ893" t="s">
        <v>74</v>
      </c>
      <c r="BR893" t="s">
        <v>97</v>
      </c>
      <c r="BS893" t="s">
        <v>12493</v>
      </c>
      <c r="BT893" t="str">
        <f>HYPERLINK("https%3A%2F%2Fwww.webofscience.com%2Fwos%2Fwoscc%2Ffull-record%2FWOS:000181534800018","View Full Record in Web of Science")</f>
        <v>View Full Record in Web of Science</v>
      </c>
    </row>
    <row r="894" spans="1:72" x14ac:dyDescent="0.15">
      <c r="A894" t="s">
        <v>72</v>
      </c>
      <c r="B894" t="s">
        <v>12494</v>
      </c>
      <c r="C894" t="s">
        <v>74</v>
      </c>
      <c r="D894" t="s">
        <v>74</v>
      </c>
      <c r="E894" t="s">
        <v>74</v>
      </c>
      <c r="F894" t="s">
        <v>12494</v>
      </c>
      <c r="G894" t="s">
        <v>74</v>
      </c>
      <c r="H894" t="s">
        <v>74</v>
      </c>
      <c r="I894" t="s">
        <v>12495</v>
      </c>
      <c r="J894" t="s">
        <v>2224</v>
      </c>
      <c r="K894" t="s">
        <v>74</v>
      </c>
      <c r="L894" t="s">
        <v>74</v>
      </c>
      <c r="M894" t="s">
        <v>77</v>
      </c>
      <c r="N894" t="s">
        <v>78</v>
      </c>
      <c r="O894" t="s">
        <v>74</v>
      </c>
      <c r="P894" t="s">
        <v>74</v>
      </c>
      <c r="Q894" t="s">
        <v>74</v>
      </c>
      <c r="R894" t="s">
        <v>74</v>
      </c>
      <c r="S894" t="s">
        <v>74</v>
      </c>
      <c r="T894" t="s">
        <v>12496</v>
      </c>
      <c r="U894" t="s">
        <v>12497</v>
      </c>
      <c r="V894" t="s">
        <v>12498</v>
      </c>
      <c r="W894" t="s">
        <v>12499</v>
      </c>
      <c r="X894" t="s">
        <v>12500</v>
      </c>
      <c r="Y894" t="s">
        <v>12501</v>
      </c>
      <c r="Z894" t="s">
        <v>12502</v>
      </c>
      <c r="AA894" t="s">
        <v>12503</v>
      </c>
      <c r="AB894" t="s">
        <v>12504</v>
      </c>
      <c r="AC894" t="s">
        <v>74</v>
      </c>
      <c r="AD894" t="s">
        <v>74</v>
      </c>
      <c r="AE894" t="s">
        <v>74</v>
      </c>
      <c r="AF894" t="s">
        <v>74</v>
      </c>
      <c r="AG894">
        <v>55</v>
      </c>
      <c r="AH894">
        <v>119</v>
      </c>
      <c r="AI894">
        <v>129</v>
      </c>
      <c r="AJ894">
        <v>1</v>
      </c>
      <c r="AK894">
        <v>62</v>
      </c>
      <c r="AL894" t="s">
        <v>169</v>
      </c>
      <c r="AM894" t="s">
        <v>170</v>
      </c>
      <c r="AN894" t="s">
        <v>171</v>
      </c>
      <c r="AO894" t="s">
        <v>2233</v>
      </c>
      <c r="AP894" t="s">
        <v>2234</v>
      </c>
      <c r="AQ894" t="s">
        <v>74</v>
      </c>
      <c r="AR894" t="s">
        <v>2235</v>
      </c>
      <c r="AS894" t="s">
        <v>2236</v>
      </c>
      <c r="AT894" t="s">
        <v>11758</v>
      </c>
      <c r="AU894">
        <v>2003</v>
      </c>
      <c r="AV894">
        <v>46</v>
      </c>
      <c r="AW894">
        <v>2</v>
      </c>
      <c r="AX894" t="s">
        <v>74</v>
      </c>
      <c r="AY894" t="s">
        <v>74</v>
      </c>
      <c r="AZ894" t="s">
        <v>74</v>
      </c>
      <c r="BA894" t="s">
        <v>74</v>
      </c>
      <c r="BB894">
        <v>213</v>
      </c>
      <c r="BC894">
        <v>223</v>
      </c>
      <c r="BD894" t="s">
        <v>12505</v>
      </c>
      <c r="BE894" t="s">
        <v>12506</v>
      </c>
      <c r="BF894" t="str">
        <f>HYPERLINK("http://dx.doi.org/10.1016/S0025-326X(02)00364-8","http://dx.doi.org/10.1016/S0025-326X(02)00364-8")</f>
        <v>http://dx.doi.org/10.1016/S0025-326X(02)00364-8</v>
      </c>
      <c r="BG894" t="s">
        <v>74</v>
      </c>
      <c r="BH894" t="s">
        <v>74</v>
      </c>
      <c r="BI894">
        <v>11</v>
      </c>
      <c r="BJ894" t="s">
        <v>2238</v>
      </c>
      <c r="BK894" t="s">
        <v>94</v>
      </c>
      <c r="BL894" t="s">
        <v>486</v>
      </c>
      <c r="BM894" t="s">
        <v>12507</v>
      </c>
      <c r="BN894">
        <v>12586117</v>
      </c>
      <c r="BO894" t="s">
        <v>1272</v>
      </c>
      <c r="BP894" t="s">
        <v>74</v>
      </c>
      <c r="BQ894" t="s">
        <v>74</v>
      </c>
      <c r="BR894" t="s">
        <v>97</v>
      </c>
      <c r="BS894" t="s">
        <v>12508</v>
      </c>
      <c r="BT894" t="str">
        <f>HYPERLINK("https%3A%2F%2Fwww.webofscience.com%2Fwos%2Fwoscc%2Ffull-record%2FWOS:000181222400018","View Full Record in Web of Science")</f>
        <v>View Full Record in Web of Science</v>
      </c>
    </row>
    <row r="895" spans="1:72" x14ac:dyDescent="0.15">
      <c r="A895" t="s">
        <v>72</v>
      </c>
      <c r="B895" t="s">
        <v>12509</v>
      </c>
      <c r="C895" t="s">
        <v>74</v>
      </c>
      <c r="D895" t="s">
        <v>74</v>
      </c>
      <c r="E895" t="s">
        <v>74</v>
      </c>
      <c r="F895" t="s">
        <v>12509</v>
      </c>
      <c r="G895" t="s">
        <v>74</v>
      </c>
      <c r="H895" t="s">
        <v>74</v>
      </c>
      <c r="I895" t="s">
        <v>12510</v>
      </c>
      <c r="J895" t="s">
        <v>2224</v>
      </c>
      <c r="K895" t="s">
        <v>74</v>
      </c>
      <c r="L895" t="s">
        <v>74</v>
      </c>
      <c r="M895" t="s">
        <v>77</v>
      </c>
      <c r="N895" t="s">
        <v>78</v>
      </c>
      <c r="O895" t="s">
        <v>74</v>
      </c>
      <c r="P895" t="s">
        <v>74</v>
      </c>
      <c r="Q895" t="s">
        <v>74</v>
      </c>
      <c r="R895" t="s">
        <v>74</v>
      </c>
      <c r="S895" t="s">
        <v>74</v>
      </c>
      <c r="T895" t="s">
        <v>12511</v>
      </c>
      <c r="U895" t="s">
        <v>12512</v>
      </c>
      <c r="V895" t="s">
        <v>12513</v>
      </c>
      <c r="W895" t="s">
        <v>12514</v>
      </c>
      <c r="X895" t="s">
        <v>12515</v>
      </c>
      <c r="Y895" t="s">
        <v>8901</v>
      </c>
      <c r="Z895" t="s">
        <v>12516</v>
      </c>
      <c r="AA895" t="s">
        <v>6320</v>
      </c>
      <c r="AB895" t="s">
        <v>12517</v>
      </c>
      <c r="AC895" t="s">
        <v>74</v>
      </c>
      <c r="AD895" t="s">
        <v>74</v>
      </c>
      <c r="AE895" t="s">
        <v>74</v>
      </c>
      <c r="AF895" t="s">
        <v>74</v>
      </c>
      <c r="AG895">
        <v>47</v>
      </c>
      <c r="AH895">
        <v>76</v>
      </c>
      <c r="AI895">
        <v>83</v>
      </c>
      <c r="AJ895">
        <v>0</v>
      </c>
      <c r="AK895">
        <v>13</v>
      </c>
      <c r="AL895" t="s">
        <v>169</v>
      </c>
      <c r="AM895" t="s">
        <v>170</v>
      </c>
      <c r="AN895" t="s">
        <v>171</v>
      </c>
      <c r="AO895" t="s">
        <v>2233</v>
      </c>
      <c r="AP895" t="s">
        <v>2234</v>
      </c>
      <c r="AQ895" t="s">
        <v>74</v>
      </c>
      <c r="AR895" t="s">
        <v>2235</v>
      </c>
      <c r="AS895" t="s">
        <v>2236</v>
      </c>
      <c r="AT895" t="s">
        <v>11758</v>
      </c>
      <c r="AU895">
        <v>2003</v>
      </c>
      <c r="AV895">
        <v>46</v>
      </c>
      <c r="AW895">
        <v>2</v>
      </c>
      <c r="AX895" t="s">
        <v>74</v>
      </c>
      <c r="AY895" t="s">
        <v>74</v>
      </c>
      <c r="AZ895" t="s">
        <v>74</v>
      </c>
      <c r="BA895" t="s">
        <v>74</v>
      </c>
      <c r="BB895">
        <v>232</v>
      </c>
      <c r="BC895">
        <v>243</v>
      </c>
      <c r="BD895" t="s">
        <v>12518</v>
      </c>
      <c r="BE895" t="s">
        <v>12519</v>
      </c>
      <c r="BF895" t="str">
        <f>HYPERLINK("http://dx.doi.org/10.1016/S0025-326X(02)00366-1","http://dx.doi.org/10.1016/S0025-326X(02)00366-1")</f>
        <v>http://dx.doi.org/10.1016/S0025-326X(02)00366-1</v>
      </c>
      <c r="BG895" t="s">
        <v>74</v>
      </c>
      <c r="BH895" t="s">
        <v>74</v>
      </c>
      <c r="BI895">
        <v>12</v>
      </c>
      <c r="BJ895" t="s">
        <v>2238</v>
      </c>
      <c r="BK895" t="s">
        <v>94</v>
      </c>
      <c r="BL895" t="s">
        <v>486</v>
      </c>
      <c r="BM895" t="s">
        <v>12507</v>
      </c>
      <c r="BN895">
        <v>12586119</v>
      </c>
      <c r="BO895" t="s">
        <v>74</v>
      </c>
      <c r="BP895" t="s">
        <v>74</v>
      </c>
      <c r="BQ895" t="s">
        <v>74</v>
      </c>
      <c r="BR895" t="s">
        <v>97</v>
      </c>
      <c r="BS895" t="s">
        <v>12520</v>
      </c>
      <c r="BT895" t="str">
        <f>HYPERLINK("https%3A%2F%2Fwww.webofscience.com%2Fwos%2Fwoscc%2Ffull-record%2FWOS:000181222400020","View Full Record in Web of Science")</f>
        <v>View Full Record in Web of Science</v>
      </c>
    </row>
    <row r="896" spans="1:72" x14ac:dyDescent="0.15">
      <c r="A896" t="s">
        <v>72</v>
      </c>
      <c r="B896" t="s">
        <v>12521</v>
      </c>
      <c r="C896" t="s">
        <v>74</v>
      </c>
      <c r="D896" t="s">
        <v>74</v>
      </c>
      <c r="E896" t="s">
        <v>74</v>
      </c>
      <c r="F896" t="s">
        <v>12521</v>
      </c>
      <c r="G896" t="s">
        <v>74</v>
      </c>
      <c r="H896" t="s">
        <v>74</v>
      </c>
      <c r="I896" t="s">
        <v>12522</v>
      </c>
      <c r="J896" t="s">
        <v>2330</v>
      </c>
      <c r="K896" t="s">
        <v>74</v>
      </c>
      <c r="L896" t="s">
        <v>74</v>
      </c>
      <c r="M896" t="s">
        <v>77</v>
      </c>
      <c r="N896" t="s">
        <v>556</v>
      </c>
      <c r="O896" t="s">
        <v>74</v>
      </c>
      <c r="P896" t="s">
        <v>74</v>
      </c>
      <c r="Q896" t="s">
        <v>74</v>
      </c>
      <c r="R896" t="s">
        <v>74</v>
      </c>
      <c r="S896" t="s">
        <v>74</v>
      </c>
      <c r="T896" t="s">
        <v>12523</v>
      </c>
      <c r="U896" t="s">
        <v>12524</v>
      </c>
      <c r="V896" t="s">
        <v>12525</v>
      </c>
      <c r="W896" t="s">
        <v>74</v>
      </c>
      <c r="X896" t="s">
        <v>74</v>
      </c>
      <c r="Y896" t="s">
        <v>74</v>
      </c>
      <c r="Z896" t="s">
        <v>12526</v>
      </c>
      <c r="AA896" t="s">
        <v>12527</v>
      </c>
      <c r="AB896" t="s">
        <v>12528</v>
      </c>
      <c r="AC896" t="s">
        <v>74</v>
      </c>
      <c r="AD896" t="s">
        <v>74</v>
      </c>
      <c r="AE896" t="s">
        <v>74</v>
      </c>
      <c r="AF896" t="s">
        <v>74</v>
      </c>
      <c r="AG896">
        <v>182</v>
      </c>
      <c r="AH896">
        <v>295</v>
      </c>
      <c r="AI896">
        <v>344</v>
      </c>
      <c r="AJ896">
        <v>0</v>
      </c>
      <c r="AK896">
        <v>51</v>
      </c>
      <c r="AL896" t="s">
        <v>2341</v>
      </c>
      <c r="AM896" t="s">
        <v>2342</v>
      </c>
      <c r="AN896" t="s">
        <v>2343</v>
      </c>
      <c r="AO896" t="s">
        <v>2344</v>
      </c>
      <c r="AP896" t="s">
        <v>8611</v>
      </c>
      <c r="AQ896" t="s">
        <v>74</v>
      </c>
      <c r="AR896" t="s">
        <v>2345</v>
      </c>
      <c r="AS896" t="s">
        <v>2346</v>
      </c>
      <c r="AT896" t="s">
        <v>11758</v>
      </c>
      <c r="AU896">
        <v>2003</v>
      </c>
      <c r="AV896">
        <v>26</v>
      </c>
      <c r="AW896">
        <v>2</v>
      </c>
      <c r="AX896" t="s">
        <v>74</v>
      </c>
      <c r="AY896" t="s">
        <v>74</v>
      </c>
      <c r="AZ896" t="s">
        <v>74</v>
      </c>
      <c r="BA896" t="s">
        <v>74</v>
      </c>
      <c r="BB896">
        <v>262</v>
      </c>
      <c r="BC896">
        <v>288</v>
      </c>
      <c r="BD896" t="s">
        <v>12529</v>
      </c>
      <c r="BE896" t="s">
        <v>12530</v>
      </c>
      <c r="BF896" t="str">
        <f>HYPERLINK("http://dx.doi.org/10.1016/S1055-7903(02)00371-8","http://dx.doi.org/10.1016/S1055-7903(02)00371-8")</f>
        <v>http://dx.doi.org/10.1016/S1055-7903(02)00371-8</v>
      </c>
      <c r="BG896" t="s">
        <v>74</v>
      </c>
      <c r="BH896" t="s">
        <v>74</v>
      </c>
      <c r="BI896">
        <v>27</v>
      </c>
      <c r="BJ896" t="s">
        <v>2348</v>
      </c>
      <c r="BK896" t="s">
        <v>94</v>
      </c>
      <c r="BL896" t="s">
        <v>2348</v>
      </c>
      <c r="BM896" t="s">
        <v>12531</v>
      </c>
      <c r="BN896">
        <v>12565036</v>
      </c>
      <c r="BO896" t="s">
        <v>74</v>
      </c>
      <c r="BP896" t="s">
        <v>74</v>
      </c>
      <c r="BQ896" t="s">
        <v>74</v>
      </c>
      <c r="BR896" t="s">
        <v>97</v>
      </c>
      <c r="BS896" t="s">
        <v>12532</v>
      </c>
      <c r="BT896" t="str">
        <f>HYPERLINK("https%3A%2F%2Fwww.webofscience.com%2Fwos%2Fwoscc%2Ffull-record%2FWOS:000181007600009","View Full Record in Web of Science")</f>
        <v>View Full Record in Web of Science</v>
      </c>
    </row>
    <row r="897" spans="1:72" x14ac:dyDescent="0.15">
      <c r="A897" t="s">
        <v>72</v>
      </c>
      <c r="B897" t="s">
        <v>12533</v>
      </c>
      <c r="C897" t="s">
        <v>74</v>
      </c>
      <c r="D897" t="s">
        <v>74</v>
      </c>
      <c r="E897" t="s">
        <v>74</v>
      </c>
      <c r="F897" t="s">
        <v>12533</v>
      </c>
      <c r="G897" t="s">
        <v>74</v>
      </c>
      <c r="H897" t="s">
        <v>74</v>
      </c>
      <c r="I897" t="s">
        <v>12534</v>
      </c>
      <c r="J897" t="s">
        <v>6931</v>
      </c>
      <c r="K897" t="s">
        <v>74</v>
      </c>
      <c r="L897" t="s">
        <v>74</v>
      </c>
      <c r="M897" t="s">
        <v>77</v>
      </c>
      <c r="N897" t="s">
        <v>78</v>
      </c>
      <c r="O897" t="s">
        <v>74</v>
      </c>
      <c r="P897" t="s">
        <v>74</v>
      </c>
      <c r="Q897" t="s">
        <v>74</v>
      </c>
      <c r="R897" t="s">
        <v>74</v>
      </c>
      <c r="S897" t="s">
        <v>74</v>
      </c>
      <c r="T897" t="s">
        <v>74</v>
      </c>
      <c r="U897" t="s">
        <v>12535</v>
      </c>
      <c r="V897" t="s">
        <v>12536</v>
      </c>
      <c r="W897" t="s">
        <v>12537</v>
      </c>
      <c r="X897" t="s">
        <v>9767</v>
      </c>
      <c r="Y897" t="s">
        <v>12538</v>
      </c>
      <c r="Z897" t="s">
        <v>12539</v>
      </c>
      <c r="AA897" t="s">
        <v>74</v>
      </c>
      <c r="AB897" t="s">
        <v>12540</v>
      </c>
      <c r="AC897" t="s">
        <v>74</v>
      </c>
      <c r="AD897" t="s">
        <v>74</v>
      </c>
      <c r="AE897" t="s">
        <v>74</v>
      </c>
      <c r="AF897" t="s">
        <v>74</v>
      </c>
      <c r="AG897">
        <v>70</v>
      </c>
      <c r="AH897">
        <v>182</v>
      </c>
      <c r="AI897">
        <v>194</v>
      </c>
      <c r="AJ897">
        <v>0</v>
      </c>
      <c r="AK897">
        <v>24</v>
      </c>
      <c r="AL897" t="s">
        <v>85</v>
      </c>
      <c r="AM897" t="s">
        <v>86</v>
      </c>
      <c r="AN897" t="s">
        <v>87</v>
      </c>
      <c r="AO897" t="s">
        <v>6938</v>
      </c>
      <c r="AP897" t="s">
        <v>9708</v>
      </c>
      <c r="AQ897" t="s">
        <v>74</v>
      </c>
      <c r="AR897" t="s">
        <v>6939</v>
      </c>
      <c r="AS897" t="s">
        <v>6940</v>
      </c>
      <c r="AT897" t="s">
        <v>11758</v>
      </c>
      <c r="AU897">
        <v>2003</v>
      </c>
      <c r="AV897">
        <v>131</v>
      </c>
      <c r="AW897">
        <v>2</v>
      </c>
      <c r="AX897" t="s">
        <v>74</v>
      </c>
      <c r="AY897" t="s">
        <v>74</v>
      </c>
      <c r="AZ897" t="s">
        <v>74</v>
      </c>
      <c r="BA897" t="s">
        <v>74</v>
      </c>
      <c r="BB897">
        <v>272</v>
      </c>
      <c r="BC897">
        <v>288</v>
      </c>
      <c r="BD897" t="s">
        <v>74</v>
      </c>
      <c r="BE897" t="s">
        <v>12541</v>
      </c>
      <c r="BF897" t="str">
        <f>HYPERLINK("http://dx.doi.org/10.1175/1520-0493(2003)131&lt;0272:SAITSA&gt;2.0.CO;2","http://dx.doi.org/10.1175/1520-0493(2003)131&lt;0272:SAITSA&gt;2.0.CO;2")</f>
        <v>http://dx.doi.org/10.1175/1520-0493(2003)131&lt;0272:SAITSA&gt;2.0.CO;2</v>
      </c>
      <c r="BG897" t="s">
        <v>74</v>
      </c>
      <c r="BH897" t="s">
        <v>74</v>
      </c>
      <c r="BI897">
        <v>17</v>
      </c>
      <c r="BJ897" t="s">
        <v>93</v>
      </c>
      <c r="BK897" t="s">
        <v>94</v>
      </c>
      <c r="BL897" t="s">
        <v>93</v>
      </c>
      <c r="BM897" t="s">
        <v>12542</v>
      </c>
      <c r="BN897" t="s">
        <v>74</v>
      </c>
      <c r="BO897" t="s">
        <v>759</v>
      </c>
      <c r="BP897" t="s">
        <v>74</v>
      </c>
      <c r="BQ897" t="s">
        <v>74</v>
      </c>
      <c r="BR897" t="s">
        <v>97</v>
      </c>
      <c r="BS897" t="s">
        <v>12543</v>
      </c>
      <c r="BT897" t="str">
        <f>HYPERLINK("https%3A%2F%2Fwww.webofscience.com%2Fwos%2Fwoscc%2Ffull-record%2FWOS:000180471000002","View Full Record in Web of Science")</f>
        <v>View Full Record in Web of Science</v>
      </c>
    </row>
    <row r="898" spans="1:72" x14ac:dyDescent="0.15">
      <c r="A898" t="s">
        <v>72</v>
      </c>
      <c r="B898" t="s">
        <v>12544</v>
      </c>
      <c r="C898" t="s">
        <v>74</v>
      </c>
      <c r="D898" t="s">
        <v>74</v>
      </c>
      <c r="E898" t="s">
        <v>74</v>
      </c>
      <c r="F898" t="s">
        <v>12544</v>
      </c>
      <c r="G898" t="s">
        <v>74</v>
      </c>
      <c r="H898" t="s">
        <v>74</v>
      </c>
      <c r="I898" t="s">
        <v>12545</v>
      </c>
      <c r="J898" t="s">
        <v>6931</v>
      </c>
      <c r="K898" t="s">
        <v>74</v>
      </c>
      <c r="L898" t="s">
        <v>74</v>
      </c>
      <c r="M898" t="s">
        <v>77</v>
      </c>
      <c r="N898" t="s">
        <v>78</v>
      </c>
      <c r="O898" t="s">
        <v>74</v>
      </c>
      <c r="P898" t="s">
        <v>74</v>
      </c>
      <c r="Q898" t="s">
        <v>74</v>
      </c>
      <c r="R898" t="s">
        <v>74</v>
      </c>
      <c r="S898" t="s">
        <v>74</v>
      </c>
      <c r="T898" t="s">
        <v>74</v>
      </c>
      <c r="U898" t="s">
        <v>12546</v>
      </c>
      <c r="V898" t="s">
        <v>12547</v>
      </c>
      <c r="W898" t="s">
        <v>12548</v>
      </c>
      <c r="X898" t="s">
        <v>12549</v>
      </c>
      <c r="Y898" t="s">
        <v>12550</v>
      </c>
      <c r="Z898" t="s">
        <v>74</v>
      </c>
      <c r="AA898" t="s">
        <v>12551</v>
      </c>
      <c r="AB898" t="s">
        <v>12552</v>
      </c>
      <c r="AC898" t="s">
        <v>74</v>
      </c>
      <c r="AD898" t="s">
        <v>74</v>
      </c>
      <c r="AE898" t="s">
        <v>74</v>
      </c>
      <c r="AF898" t="s">
        <v>74</v>
      </c>
      <c r="AG898">
        <v>63</v>
      </c>
      <c r="AH898">
        <v>74</v>
      </c>
      <c r="AI898">
        <v>85</v>
      </c>
      <c r="AJ898">
        <v>1</v>
      </c>
      <c r="AK898">
        <v>19</v>
      </c>
      <c r="AL898" t="s">
        <v>85</v>
      </c>
      <c r="AM898" t="s">
        <v>86</v>
      </c>
      <c r="AN898" t="s">
        <v>87</v>
      </c>
      <c r="AO898" t="s">
        <v>6938</v>
      </c>
      <c r="AP898" t="s">
        <v>74</v>
      </c>
      <c r="AQ898" t="s">
        <v>74</v>
      </c>
      <c r="AR898" t="s">
        <v>6939</v>
      </c>
      <c r="AS898" t="s">
        <v>6940</v>
      </c>
      <c r="AT898" t="s">
        <v>11758</v>
      </c>
      <c r="AU898">
        <v>2003</v>
      </c>
      <c r="AV898">
        <v>131</v>
      </c>
      <c r="AW898">
        <v>2</v>
      </c>
      <c r="AX898" t="s">
        <v>74</v>
      </c>
      <c r="AY898" t="s">
        <v>74</v>
      </c>
      <c r="AZ898" t="s">
        <v>74</v>
      </c>
      <c r="BA898" t="s">
        <v>74</v>
      </c>
      <c r="BB898">
        <v>289</v>
      </c>
      <c r="BC898">
        <v>301</v>
      </c>
      <c r="BD898" t="s">
        <v>74</v>
      </c>
      <c r="BE898" t="s">
        <v>12553</v>
      </c>
      <c r="BF898" t="str">
        <f>HYPERLINK("http://dx.doi.org/10.1175/1520-0493(2003)131&lt;0289:DACOMC&gt;2.0.CO;2","http://dx.doi.org/10.1175/1520-0493(2003)131&lt;0289:DACOMC&gt;2.0.CO;2")</f>
        <v>http://dx.doi.org/10.1175/1520-0493(2003)131&lt;0289:DACOMC&gt;2.0.CO;2</v>
      </c>
      <c r="BG898" t="s">
        <v>74</v>
      </c>
      <c r="BH898" t="s">
        <v>74</v>
      </c>
      <c r="BI898">
        <v>13</v>
      </c>
      <c r="BJ898" t="s">
        <v>93</v>
      </c>
      <c r="BK898" t="s">
        <v>94</v>
      </c>
      <c r="BL898" t="s">
        <v>93</v>
      </c>
      <c r="BM898" t="s">
        <v>12542</v>
      </c>
      <c r="BN898" t="s">
        <v>74</v>
      </c>
      <c r="BO898" t="s">
        <v>96</v>
      </c>
      <c r="BP898" t="s">
        <v>74</v>
      </c>
      <c r="BQ898" t="s">
        <v>74</v>
      </c>
      <c r="BR898" t="s">
        <v>97</v>
      </c>
      <c r="BS898" t="s">
        <v>12554</v>
      </c>
      <c r="BT898" t="str">
        <f>HYPERLINK("https%3A%2F%2Fwww.webofscience.com%2Fwos%2Fwoscc%2Ffull-record%2FWOS:000180471000003","View Full Record in Web of Science")</f>
        <v>View Full Record in Web of Science</v>
      </c>
    </row>
    <row r="899" spans="1:72" x14ac:dyDescent="0.15">
      <c r="A899" t="s">
        <v>72</v>
      </c>
      <c r="B899" t="s">
        <v>6929</v>
      </c>
      <c r="C899" t="s">
        <v>74</v>
      </c>
      <c r="D899" t="s">
        <v>74</v>
      </c>
      <c r="E899" t="s">
        <v>74</v>
      </c>
      <c r="F899" t="s">
        <v>6929</v>
      </c>
      <c r="G899" t="s">
        <v>74</v>
      </c>
      <c r="H899" t="s">
        <v>74</v>
      </c>
      <c r="I899" t="s">
        <v>12555</v>
      </c>
      <c r="J899" t="s">
        <v>6931</v>
      </c>
      <c r="K899" t="s">
        <v>74</v>
      </c>
      <c r="L899" t="s">
        <v>74</v>
      </c>
      <c r="M899" t="s">
        <v>77</v>
      </c>
      <c r="N899" t="s">
        <v>78</v>
      </c>
      <c r="O899" t="s">
        <v>74</v>
      </c>
      <c r="P899" t="s">
        <v>74</v>
      </c>
      <c r="Q899" t="s">
        <v>74</v>
      </c>
      <c r="R899" t="s">
        <v>74</v>
      </c>
      <c r="S899" t="s">
        <v>74</v>
      </c>
      <c r="T899" t="s">
        <v>74</v>
      </c>
      <c r="U899" t="s">
        <v>12556</v>
      </c>
      <c r="V899" t="s">
        <v>12557</v>
      </c>
      <c r="W899" t="s">
        <v>6934</v>
      </c>
      <c r="X899" t="s">
        <v>6935</v>
      </c>
      <c r="Y899" t="s">
        <v>6936</v>
      </c>
      <c r="Z899" t="s">
        <v>74</v>
      </c>
      <c r="AA899" t="s">
        <v>6937</v>
      </c>
      <c r="AB899" t="s">
        <v>74</v>
      </c>
      <c r="AC899" t="s">
        <v>74</v>
      </c>
      <c r="AD899" t="s">
        <v>74</v>
      </c>
      <c r="AE899" t="s">
        <v>74</v>
      </c>
      <c r="AF899" t="s">
        <v>74</v>
      </c>
      <c r="AG899">
        <v>35</v>
      </c>
      <c r="AH899">
        <v>98</v>
      </c>
      <c r="AI899">
        <v>110</v>
      </c>
      <c r="AJ899">
        <v>3</v>
      </c>
      <c r="AK899">
        <v>29</v>
      </c>
      <c r="AL899" t="s">
        <v>85</v>
      </c>
      <c r="AM899" t="s">
        <v>86</v>
      </c>
      <c r="AN899" t="s">
        <v>87</v>
      </c>
      <c r="AO899" t="s">
        <v>6938</v>
      </c>
      <c r="AP899" t="s">
        <v>74</v>
      </c>
      <c r="AQ899" t="s">
        <v>74</v>
      </c>
      <c r="AR899" t="s">
        <v>6939</v>
      </c>
      <c r="AS899" t="s">
        <v>6940</v>
      </c>
      <c r="AT899" t="s">
        <v>11758</v>
      </c>
      <c r="AU899">
        <v>2003</v>
      </c>
      <c r="AV899">
        <v>131</v>
      </c>
      <c r="AW899">
        <v>2</v>
      </c>
      <c r="AX899" t="s">
        <v>74</v>
      </c>
      <c r="AY899" t="s">
        <v>74</v>
      </c>
      <c r="AZ899" t="s">
        <v>74</v>
      </c>
      <c r="BA899" t="s">
        <v>74</v>
      </c>
      <c r="BB899">
        <v>317</v>
      </c>
      <c r="BC899">
        <v>333</v>
      </c>
      <c r="BD899" t="s">
        <v>74</v>
      </c>
      <c r="BE899" t="s">
        <v>12558</v>
      </c>
      <c r="BF899" t="str">
        <f>HYPERLINK("http://dx.doi.org/10.1175/1520-0493(2003)131&lt;0317:TROKWO&gt;2.0.CO;2","http://dx.doi.org/10.1175/1520-0493(2003)131&lt;0317:TROKWO&gt;2.0.CO;2")</f>
        <v>http://dx.doi.org/10.1175/1520-0493(2003)131&lt;0317:TROKWO&gt;2.0.CO;2</v>
      </c>
      <c r="BG899" t="s">
        <v>74</v>
      </c>
      <c r="BH899" t="s">
        <v>74</v>
      </c>
      <c r="BI899">
        <v>17</v>
      </c>
      <c r="BJ899" t="s">
        <v>93</v>
      </c>
      <c r="BK899" t="s">
        <v>94</v>
      </c>
      <c r="BL899" t="s">
        <v>93</v>
      </c>
      <c r="BM899" t="s">
        <v>12542</v>
      </c>
      <c r="BN899" t="s">
        <v>74</v>
      </c>
      <c r="BO899" t="s">
        <v>759</v>
      </c>
      <c r="BP899" t="s">
        <v>74</v>
      </c>
      <c r="BQ899" t="s">
        <v>74</v>
      </c>
      <c r="BR899" t="s">
        <v>97</v>
      </c>
      <c r="BS899" t="s">
        <v>12559</v>
      </c>
      <c r="BT899" t="str">
        <f>HYPERLINK("https%3A%2F%2Fwww.webofscience.com%2Fwos%2Fwoscc%2Ffull-record%2FWOS:000180471000005","View Full Record in Web of Science")</f>
        <v>View Full Record in Web of Science</v>
      </c>
    </row>
    <row r="900" spans="1:72" x14ac:dyDescent="0.15">
      <c r="A900" t="s">
        <v>72</v>
      </c>
      <c r="B900" t="s">
        <v>12560</v>
      </c>
      <c r="C900" t="s">
        <v>74</v>
      </c>
      <c r="D900" t="s">
        <v>74</v>
      </c>
      <c r="E900" t="s">
        <v>74</v>
      </c>
      <c r="F900" t="s">
        <v>12560</v>
      </c>
      <c r="G900" t="s">
        <v>74</v>
      </c>
      <c r="H900" t="s">
        <v>74</v>
      </c>
      <c r="I900" t="s">
        <v>12561</v>
      </c>
      <c r="J900" t="s">
        <v>6931</v>
      </c>
      <c r="K900" t="s">
        <v>74</v>
      </c>
      <c r="L900" t="s">
        <v>74</v>
      </c>
      <c r="M900" t="s">
        <v>77</v>
      </c>
      <c r="N900" t="s">
        <v>78</v>
      </c>
      <c r="O900" t="s">
        <v>74</v>
      </c>
      <c r="P900" t="s">
        <v>74</v>
      </c>
      <c r="Q900" t="s">
        <v>74</v>
      </c>
      <c r="R900" t="s">
        <v>74</v>
      </c>
      <c r="S900" t="s">
        <v>74</v>
      </c>
      <c r="T900" t="s">
        <v>74</v>
      </c>
      <c r="U900" t="s">
        <v>12562</v>
      </c>
      <c r="V900" t="s">
        <v>12563</v>
      </c>
      <c r="W900" t="s">
        <v>12564</v>
      </c>
      <c r="X900" t="s">
        <v>12565</v>
      </c>
      <c r="Y900" t="s">
        <v>12566</v>
      </c>
      <c r="Z900" t="s">
        <v>74</v>
      </c>
      <c r="AA900" t="s">
        <v>74</v>
      </c>
      <c r="AB900" t="s">
        <v>74</v>
      </c>
      <c r="AC900" t="s">
        <v>74</v>
      </c>
      <c r="AD900" t="s">
        <v>74</v>
      </c>
      <c r="AE900" t="s">
        <v>74</v>
      </c>
      <c r="AF900" t="s">
        <v>74</v>
      </c>
      <c r="AG900">
        <v>36</v>
      </c>
      <c r="AH900">
        <v>13</v>
      </c>
      <c r="AI900">
        <v>16</v>
      </c>
      <c r="AJ900">
        <v>0</v>
      </c>
      <c r="AK900">
        <v>1</v>
      </c>
      <c r="AL900" t="s">
        <v>85</v>
      </c>
      <c r="AM900" t="s">
        <v>86</v>
      </c>
      <c r="AN900" t="s">
        <v>87</v>
      </c>
      <c r="AO900" t="s">
        <v>6938</v>
      </c>
      <c r="AP900" t="s">
        <v>74</v>
      </c>
      <c r="AQ900" t="s">
        <v>74</v>
      </c>
      <c r="AR900" t="s">
        <v>6939</v>
      </c>
      <c r="AS900" t="s">
        <v>6940</v>
      </c>
      <c r="AT900" t="s">
        <v>11758</v>
      </c>
      <c r="AU900">
        <v>2003</v>
      </c>
      <c r="AV900">
        <v>131</v>
      </c>
      <c r="AW900">
        <v>2</v>
      </c>
      <c r="AX900" t="s">
        <v>74</v>
      </c>
      <c r="AY900" t="s">
        <v>74</v>
      </c>
      <c r="AZ900" t="s">
        <v>74</v>
      </c>
      <c r="BA900" t="s">
        <v>74</v>
      </c>
      <c r="BB900">
        <v>335</v>
      </c>
      <c r="BC900">
        <v>353</v>
      </c>
      <c r="BD900" t="s">
        <v>74</v>
      </c>
      <c r="BE900" t="s">
        <v>12567</v>
      </c>
      <c r="BF900" t="str">
        <f>HYPERLINK("http://dx.doi.org/10.1175/1520-0493(2003)131&lt;0335:NWPMPO&gt;2.0.CO;2","http://dx.doi.org/10.1175/1520-0493(2003)131&lt;0335:NWPMPO&gt;2.0.CO;2")</f>
        <v>http://dx.doi.org/10.1175/1520-0493(2003)131&lt;0335:NWPMPO&gt;2.0.CO;2</v>
      </c>
      <c r="BG900" t="s">
        <v>74</v>
      </c>
      <c r="BH900" t="s">
        <v>74</v>
      </c>
      <c r="BI900">
        <v>19</v>
      </c>
      <c r="BJ900" t="s">
        <v>93</v>
      </c>
      <c r="BK900" t="s">
        <v>94</v>
      </c>
      <c r="BL900" t="s">
        <v>93</v>
      </c>
      <c r="BM900" t="s">
        <v>12542</v>
      </c>
      <c r="BN900" t="s">
        <v>74</v>
      </c>
      <c r="BO900" t="s">
        <v>96</v>
      </c>
      <c r="BP900" t="s">
        <v>74</v>
      </c>
      <c r="BQ900" t="s">
        <v>74</v>
      </c>
      <c r="BR900" t="s">
        <v>97</v>
      </c>
      <c r="BS900" t="s">
        <v>12568</v>
      </c>
      <c r="BT900" t="str">
        <f>HYPERLINK("https%3A%2F%2Fwww.webofscience.com%2Fwos%2Fwoscc%2Ffull-record%2FWOS:000180471000006","View Full Record in Web of Science")</f>
        <v>View Full Record in Web of Science</v>
      </c>
    </row>
    <row r="901" spans="1:72" x14ac:dyDescent="0.15">
      <c r="A901" t="s">
        <v>72</v>
      </c>
      <c r="B901" t="s">
        <v>12569</v>
      </c>
      <c r="C901" t="s">
        <v>74</v>
      </c>
      <c r="D901" t="s">
        <v>74</v>
      </c>
      <c r="E901" t="s">
        <v>74</v>
      </c>
      <c r="F901" t="s">
        <v>12569</v>
      </c>
      <c r="G901" t="s">
        <v>74</v>
      </c>
      <c r="H901" t="s">
        <v>74</v>
      </c>
      <c r="I901" t="s">
        <v>12570</v>
      </c>
      <c r="J901" t="s">
        <v>6931</v>
      </c>
      <c r="K901" t="s">
        <v>74</v>
      </c>
      <c r="L901" t="s">
        <v>74</v>
      </c>
      <c r="M901" t="s">
        <v>77</v>
      </c>
      <c r="N901" t="s">
        <v>78</v>
      </c>
      <c r="O901" t="s">
        <v>74</v>
      </c>
      <c r="P901" t="s">
        <v>74</v>
      </c>
      <c r="Q901" t="s">
        <v>74</v>
      </c>
      <c r="R901" t="s">
        <v>74</v>
      </c>
      <c r="S901" t="s">
        <v>74</v>
      </c>
      <c r="T901" t="s">
        <v>74</v>
      </c>
      <c r="U901" t="s">
        <v>12571</v>
      </c>
      <c r="V901" t="s">
        <v>12572</v>
      </c>
      <c r="W901" t="s">
        <v>12573</v>
      </c>
      <c r="X901" t="s">
        <v>12574</v>
      </c>
      <c r="Y901" t="s">
        <v>12575</v>
      </c>
      <c r="Z901" t="s">
        <v>74</v>
      </c>
      <c r="AA901" t="s">
        <v>74</v>
      </c>
      <c r="AB901" t="s">
        <v>74</v>
      </c>
      <c r="AC901" t="s">
        <v>74</v>
      </c>
      <c r="AD901" t="s">
        <v>74</v>
      </c>
      <c r="AE901" t="s">
        <v>74</v>
      </c>
      <c r="AF901" t="s">
        <v>74</v>
      </c>
      <c r="AG901">
        <v>26</v>
      </c>
      <c r="AH901">
        <v>5</v>
      </c>
      <c r="AI901">
        <v>5</v>
      </c>
      <c r="AJ901">
        <v>0</v>
      </c>
      <c r="AK901">
        <v>1</v>
      </c>
      <c r="AL901" t="s">
        <v>85</v>
      </c>
      <c r="AM901" t="s">
        <v>86</v>
      </c>
      <c r="AN901" t="s">
        <v>87</v>
      </c>
      <c r="AO901" t="s">
        <v>6938</v>
      </c>
      <c r="AP901" t="s">
        <v>74</v>
      </c>
      <c r="AQ901" t="s">
        <v>74</v>
      </c>
      <c r="AR901" t="s">
        <v>6939</v>
      </c>
      <c r="AS901" t="s">
        <v>6940</v>
      </c>
      <c r="AT901" t="s">
        <v>11758</v>
      </c>
      <c r="AU901">
        <v>2003</v>
      </c>
      <c r="AV901">
        <v>131</v>
      </c>
      <c r="AW901">
        <v>2</v>
      </c>
      <c r="AX901" t="s">
        <v>74</v>
      </c>
      <c r="AY901" t="s">
        <v>74</v>
      </c>
      <c r="AZ901" t="s">
        <v>74</v>
      </c>
      <c r="BA901" t="s">
        <v>74</v>
      </c>
      <c r="BB901">
        <v>354</v>
      </c>
      <c r="BC901">
        <v>370</v>
      </c>
      <c r="BD901" t="s">
        <v>74</v>
      </c>
      <c r="BE901" t="s">
        <v>12576</v>
      </c>
      <c r="BF901" t="str">
        <f>HYPERLINK("http://dx.doi.org/10.1175/1520-0493(2003)131&lt;0354:POSSEI&gt;2.0.CO;2","http://dx.doi.org/10.1175/1520-0493(2003)131&lt;0354:POSSEI&gt;2.0.CO;2")</f>
        <v>http://dx.doi.org/10.1175/1520-0493(2003)131&lt;0354:POSSEI&gt;2.0.CO;2</v>
      </c>
      <c r="BG901" t="s">
        <v>74</v>
      </c>
      <c r="BH901" t="s">
        <v>74</v>
      </c>
      <c r="BI901">
        <v>17</v>
      </c>
      <c r="BJ901" t="s">
        <v>93</v>
      </c>
      <c r="BK901" t="s">
        <v>94</v>
      </c>
      <c r="BL901" t="s">
        <v>93</v>
      </c>
      <c r="BM901" t="s">
        <v>12542</v>
      </c>
      <c r="BN901" t="s">
        <v>74</v>
      </c>
      <c r="BO901" t="s">
        <v>759</v>
      </c>
      <c r="BP901" t="s">
        <v>74</v>
      </c>
      <c r="BQ901" t="s">
        <v>74</v>
      </c>
      <c r="BR901" t="s">
        <v>97</v>
      </c>
      <c r="BS901" t="s">
        <v>12577</v>
      </c>
      <c r="BT901" t="str">
        <f>HYPERLINK("https%3A%2F%2Fwww.webofscience.com%2Fwos%2Fwoscc%2Ffull-record%2FWOS:000180471000007","View Full Record in Web of Science")</f>
        <v>View Full Record in Web of Science</v>
      </c>
    </row>
    <row r="902" spans="1:72" x14ac:dyDescent="0.15">
      <c r="A902" t="s">
        <v>72</v>
      </c>
      <c r="B902" t="s">
        <v>12578</v>
      </c>
      <c r="C902" t="s">
        <v>74</v>
      </c>
      <c r="D902" t="s">
        <v>74</v>
      </c>
      <c r="E902" t="s">
        <v>74</v>
      </c>
      <c r="F902" t="s">
        <v>12578</v>
      </c>
      <c r="G902" t="s">
        <v>74</v>
      </c>
      <c r="H902" t="s">
        <v>74</v>
      </c>
      <c r="I902" t="s">
        <v>12579</v>
      </c>
      <c r="J902" t="s">
        <v>6931</v>
      </c>
      <c r="K902" t="s">
        <v>74</v>
      </c>
      <c r="L902" t="s">
        <v>74</v>
      </c>
      <c r="M902" t="s">
        <v>77</v>
      </c>
      <c r="N902" t="s">
        <v>78</v>
      </c>
      <c r="O902" t="s">
        <v>74</v>
      </c>
      <c r="P902" t="s">
        <v>74</v>
      </c>
      <c r="Q902" t="s">
        <v>74</v>
      </c>
      <c r="R902" t="s">
        <v>74</v>
      </c>
      <c r="S902" t="s">
        <v>74</v>
      </c>
      <c r="T902" t="s">
        <v>74</v>
      </c>
      <c r="U902" t="s">
        <v>12580</v>
      </c>
      <c r="V902" t="s">
        <v>12581</v>
      </c>
      <c r="W902" t="s">
        <v>12582</v>
      </c>
      <c r="X902" t="s">
        <v>12583</v>
      </c>
      <c r="Y902" t="s">
        <v>12584</v>
      </c>
      <c r="Z902" t="s">
        <v>74</v>
      </c>
      <c r="AA902" t="s">
        <v>74</v>
      </c>
      <c r="AB902" t="s">
        <v>12585</v>
      </c>
      <c r="AC902" t="s">
        <v>74</v>
      </c>
      <c r="AD902" t="s">
        <v>74</v>
      </c>
      <c r="AE902" t="s">
        <v>74</v>
      </c>
      <c r="AF902" t="s">
        <v>74</v>
      </c>
      <c r="AG902">
        <v>46</v>
      </c>
      <c r="AH902">
        <v>11</v>
      </c>
      <c r="AI902">
        <v>14</v>
      </c>
      <c r="AJ902">
        <v>1</v>
      </c>
      <c r="AK902">
        <v>7</v>
      </c>
      <c r="AL902" t="s">
        <v>85</v>
      </c>
      <c r="AM902" t="s">
        <v>86</v>
      </c>
      <c r="AN902" t="s">
        <v>87</v>
      </c>
      <c r="AO902" t="s">
        <v>6938</v>
      </c>
      <c r="AP902" t="s">
        <v>74</v>
      </c>
      <c r="AQ902" t="s">
        <v>74</v>
      </c>
      <c r="AR902" t="s">
        <v>6939</v>
      </c>
      <c r="AS902" t="s">
        <v>6940</v>
      </c>
      <c r="AT902" t="s">
        <v>11758</v>
      </c>
      <c r="AU902">
        <v>2003</v>
      </c>
      <c r="AV902">
        <v>131</v>
      </c>
      <c r="AW902">
        <v>2</v>
      </c>
      <c r="AX902" t="s">
        <v>74</v>
      </c>
      <c r="AY902" t="s">
        <v>74</v>
      </c>
      <c r="AZ902" t="s">
        <v>74</v>
      </c>
      <c r="BA902" t="s">
        <v>74</v>
      </c>
      <c r="BB902">
        <v>371</v>
      </c>
      <c r="BC902">
        <v>383</v>
      </c>
      <c r="BD902" t="s">
        <v>74</v>
      </c>
      <c r="BE902" t="s">
        <v>12586</v>
      </c>
      <c r="BF902" t="str">
        <f>HYPERLINK("http://dx.doi.org/10.1175/1520-0493(2003)131&lt;0371:ASMAFW&gt;2.0.CO;2","http://dx.doi.org/10.1175/1520-0493(2003)131&lt;0371:ASMAFW&gt;2.0.CO;2")</f>
        <v>http://dx.doi.org/10.1175/1520-0493(2003)131&lt;0371:ASMAFW&gt;2.0.CO;2</v>
      </c>
      <c r="BG902" t="s">
        <v>74</v>
      </c>
      <c r="BH902" t="s">
        <v>74</v>
      </c>
      <c r="BI902">
        <v>13</v>
      </c>
      <c r="BJ902" t="s">
        <v>93</v>
      </c>
      <c r="BK902" t="s">
        <v>94</v>
      </c>
      <c r="BL902" t="s">
        <v>93</v>
      </c>
      <c r="BM902" t="s">
        <v>12542</v>
      </c>
      <c r="BN902" t="s">
        <v>74</v>
      </c>
      <c r="BO902" t="s">
        <v>759</v>
      </c>
      <c r="BP902" t="s">
        <v>74</v>
      </c>
      <c r="BQ902" t="s">
        <v>74</v>
      </c>
      <c r="BR902" t="s">
        <v>97</v>
      </c>
      <c r="BS902" t="s">
        <v>12587</v>
      </c>
      <c r="BT902" t="str">
        <f>HYPERLINK("https%3A%2F%2Fwww.webofscience.com%2Fwos%2Fwoscc%2Ffull-record%2FWOS:000180471000008","View Full Record in Web of Science")</f>
        <v>View Full Record in Web of Science</v>
      </c>
    </row>
    <row r="903" spans="1:72" x14ac:dyDescent="0.15">
      <c r="A903" t="s">
        <v>72</v>
      </c>
      <c r="B903" t="s">
        <v>12588</v>
      </c>
      <c r="C903" t="s">
        <v>74</v>
      </c>
      <c r="D903" t="s">
        <v>74</v>
      </c>
      <c r="E903" t="s">
        <v>74</v>
      </c>
      <c r="F903" t="s">
        <v>12588</v>
      </c>
      <c r="G903" t="s">
        <v>74</v>
      </c>
      <c r="H903" t="s">
        <v>74</v>
      </c>
      <c r="I903" t="s">
        <v>12589</v>
      </c>
      <c r="J903" t="s">
        <v>6931</v>
      </c>
      <c r="K903" t="s">
        <v>74</v>
      </c>
      <c r="L903" t="s">
        <v>74</v>
      </c>
      <c r="M903" t="s">
        <v>77</v>
      </c>
      <c r="N903" t="s">
        <v>78</v>
      </c>
      <c r="O903" t="s">
        <v>74</v>
      </c>
      <c r="P903" t="s">
        <v>74</v>
      </c>
      <c r="Q903" t="s">
        <v>74</v>
      </c>
      <c r="R903" t="s">
        <v>74</v>
      </c>
      <c r="S903" t="s">
        <v>74</v>
      </c>
      <c r="T903" t="s">
        <v>74</v>
      </c>
      <c r="U903" t="s">
        <v>12590</v>
      </c>
      <c r="V903" t="s">
        <v>12591</v>
      </c>
      <c r="W903" t="s">
        <v>12592</v>
      </c>
      <c r="X903" t="s">
        <v>12549</v>
      </c>
      <c r="Y903" t="s">
        <v>10011</v>
      </c>
      <c r="Z903" t="s">
        <v>12593</v>
      </c>
      <c r="AA903" t="s">
        <v>12594</v>
      </c>
      <c r="AB903" t="s">
        <v>74</v>
      </c>
      <c r="AC903" t="s">
        <v>74</v>
      </c>
      <c r="AD903" t="s">
        <v>74</v>
      </c>
      <c r="AE903" t="s">
        <v>74</v>
      </c>
      <c r="AF903" t="s">
        <v>74</v>
      </c>
      <c r="AG903">
        <v>61</v>
      </c>
      <c r="AH903">
        <v>83</v>
      </c>
      <c r="AI903">
        <v>99</v>
      </c>
      <c r="AJ903">
        <v>0</v>
      </c>
      <c r="AK903">
        <v>7</v>
      </c>
      <c r="AL903" t="s">
        <v>85</v>
      </c>
      <c r="AM903" t="s">
        <v>86</v>
      </c>
      <c r="AN903" t="s">
        <v>87</v>
      </c>
      <c r="AO903" t="s">
        <v>6938</v>
      </c>
      <c r="AP903" t="s">
        <v>9708</v>
      </c>
      <c r="AQ903" t="s">
        <v>74</v>
      </c>
      <c r="AR903" t="s">
        <v>6939</v>
      </c>
      <c r="AS903" t="s">
        <v>6940</v>
      </c>
      <c r="AT903" t="s">
        <v>11758</v>
      </c>
      <c r="AU903">
        <v>2003</v>
      </c>
      <c r="AV903">
        <v>131</v>
      </c>
      <c r="AW903">
        <v>2</v>
      </c>
      <c r="AX903" t="s">
        <v>74</v>
      </c>
      <c r="AY903" t="s">
        <v>74</v>
      </c>
      <c r="AZ903" t="s">
        <v>74</v>
      </c>
      <c r="BA903" t="s">
        <v>74</v>
      </c>
      <c r="BB903">
        <v>384</v>
      </c>
      <c r="BC903">
        <v>411</v>
      </c>
      <c r="BD903" t="s">
        <v>74</v>
      </c>
      <c r="BE903" t="s">
        <v>12595</v>
      </c>
      <c r="BF903" t="str">
        <f>HYPERLINK("http://dx.doi.org/10.1175/1520-0493(2003)131&lt;0384:EOPMSO&gt;2.0.CO;2","http://dx.doi.org/10.1175/1520-0493(2003)131&lt;0384:EOPMSO&gt;2.0.CO;2")</f>
        <v>http://dx.doi.org/10.1175/1520-0493(2003)131&lt;0384:EOPMSO&gt;2.0.CO;2</v>
      </c>
      <c r="BG903" t="s">
        <v>74</v>
      </c>
      <c r="BH903" t="s">
        <v>74</v>
      </c>
      <c r="BI903">
        <v>28</v>
      </c>
      <c r="BJ903" t="s">
        <v>93</v>
      </c>
      <c r="BK903" t="s">
        <v>94</v>
      </c>
      <c r="BL903" t="s">
        <v>93</v>
      </c>
      <c r="BM903" t="s">
        <v>12542</v>
      </c>
      <c r="BN903" t="s">
        <v>74</v>
      </c>
      <c r="BO903" t="s">
        <v>2139</v>
      </c>
      <c r="BP903" t="s">
        <v>74</v>
      </c>
      <c r="BQ903" t="s">
        <v>74</v>
      </c>
      <c r="BR903" t="s">
        <v>97</v>
      </c>
      <c r="BS903" t="s">
        <v>12596</v>
      </c>
      <c r="BT903" t="str">
        <f>HYPERLINK("https%3A%2F%2Fwww.webofscience.com%2Fwos%2Fwoscc%2Ffull-record%2FWOS:000180471000009","View Full Record in Web of Science")</f>
        <v>View Full Record in Web of Science</v>
      </c>
    </row>
    <row r="904" spans="1:72" x14ac:dyDescent="0.15">
      <c r="A904" t="s">
        <v>72</v>
      </c>
      <c r="B904" t="s">
        <v>12597</v>
      </c>
      <c r="C904" t="s">
        <v>74</v>
      </c>
      <c r="D904" t="s">
        <v>74</v>
      </c>
      <c r="E904" t="s">
        <v>74</v>
      </c>
      <c r="F904" t="s">
        <v>12597</v>
      </c>
      <c r="G904" t="s">
        <v>74</v>
      </c>
      <c r="H904" t="s">
        <v>74</v>
      </c>
      <c r="I904" t="s">
        <v>12598</v>
      </c>
      <c r="J904" t="s">
        <v>6931</v>
      </c>
      <c r="K904" t="s">
        <v>74</v>
      </c>
      <c r="L904" t="s">
        <v>74</v>
      </c>
      <c r="M904" t="s">
        <v>77</v>
      </c>
      <c r="N904" t="s">
        <v>78</v>
      </c>
      <c r="O904" t="s">
        <v>74</v>
      </c>
      <c r="P904" t="s">
        <v>74</v>
      </c>
      <c r="Q904" t="s">
        <v>74</v>
      </c>
      <c r="R904" t="s">
        <v>74</v>
      </c>
      <c r="S904" t="s">
        <v>74</v>
      </c>
      <c r="T904" t="s">
        <v>74</v>
      </c>
      <c r="U904" t="s">
        <v>12599</v>
      </c>
      <c r="V904" t="s">
        <v>12600</v>
      </c>
      <c r="W904" t="s">
        <v>12601</v>
      </c>
      <c r="X904" t="s">
        <v>12602</v>
      </c>
      <c r="Y904" t="s">
        <v>12550</v>
      </c>
      <c r="Z904" t="s">
        <v>74</v>
      </c>
      <c r="AA904" t="s">
        <v>12603</v>
      </c>
      <c r="AB904" t="s">
        <v>12604</v>
      </c>
      <c r="AC904" t="s">
        <v>74</v>
      </c>
      <c r="AD904" t="s">
        <v>74</v>
      </c>
      <c r="AE904" t="s">
        <v>74</v>
      </c>
      <c r="AF904" t="s">
        <v>74</v>
      </c>
      <c r="AG904">
        <v>20</v>
      </c>
      <c r="AH904">
        <v>37</v>
      </c>
      <c r="AI904">
        <v>41</v>
      </c>
      <c r="AJ904">
        <v>0</v>
      </c>
      <c r="AK904">
        <v>3</v>
      </c>
      <c r="AL904" t="s">
        <v>85</v>
      </c>
      <c r="AM904" t="s">
        <v>86</v>
      </c>
      <c r="AN904" t="s">
        <v>87</v>
      </c>
      <c r="AO904" t="s">
        <v>6938</v>
      </c>
      <c r="AP904" t="s">
        <v>74</v>
      </c>
      <c r="AQ904" t="s">
        <v>74</v>
      </c>
      <c r="AR904" t="s">
        <v>6939</v>
      </c>
      <c r="AS904" t="s">
        <v>6940</v>
      </c>
      <c r="AT904" t="s">
        <v>11758</v>
      </c>
      <c r="AU904">
        <v>2003</v>
      </c>
      <c r="AV904">
        <v>131</v>
      </c>
      <c r="AW904">
        <v>2</v>
      </c>
      <c r="AX904" t="s">
        <v>74</v>
      </c>
      <c r="AY904" t="s">
        <v>74</v>
      </c>
      <c r="AZ904" t="s">
        <v>74</v>
      </c>
      <c r="BA904" t="s">
        <v>74</v>
      </c>
      <c r="BB904">
        <v>412</v>
      </c>
      <c r="BC904">
        <v>434</v>
      </c>
      <c r="BD904" t="s">
        <v>74</v>
      </c>
      <c r="BE904" t="s">
        <v>12605</v>
      </c>
      <c r="BF904" t="str">
        <f>HYPERLINK("http://dx.doi.org/10.1175/1520-0493(2003)131&lt;0412:AMPSAA&gt;2.0.CO;2","http://dx.doi.org/10.1175/1520-0493(2003)131&lt;0412:AMPSAA&gt;2.0.CO;2")</f>
        <v>http://dx.doi.org/10.1175/1520-0493(2003)131&lt;0412:AMPSAA&gt;2.0.CO;2</v>
      </c>
      <c r="BG904" t="s">
        <v>74</v>
      </c>
      <c r="BH904" t="s">
        <v>74</v>
      </c>
      <c r="BI904">
        <v>23</v>
      </c>
      <c r="BJ904" t="s">
        <v>93</v>
      </c>
      <c r="BK904" t="s">
        <v>94</v>
      </c>
      <c r="BL904" t="s">
        <v>93</v>
      </c>
      <c r="BM904" t="s">
        <v>12542</v>
      </c>
      <c r="BN904" t="s">
        <v>74</v>
      </c>
      <c r="BO904" t="s">
        <v>551</v>
      </c>
      <c r="BP904" t="s">
        <v>74</v>
      </c>
      <c r="BQ904" t="s">
        <v>74</v>
      </c>
      <c r="BR904" t="s">
        <v>97</v>
      </c>
      <c r="BS904" t="s">
        <v>12606</v>
      </c>
      <c r="BT904" t="str">
        <f>HYPERLINK("https%3A%2F%2Fwww.webofscience.com%2Fwos%2Fwoscc%2Ffull-record%2FWOS:000180471000010","View Full Record in Web of Science")</f>
        <v>View Full Record in Web of Science</v>
      </c>
    </row>
    <row r="905" spans="1:72" x14ac:dyDescent="0.15">
      <c r="A905" t="s">
        <v>72</v>
      </c>
      <c r="B905" t="s">
        <v>12607</v>
      </c>
      <c r="C905" t="s">
        <v>74</v>
      </c>
      <c r="D905" t="s">
        <v>74</v>
      </c>
      <c r="E905" t="s">
        <v>74</v>
      </c>
      <c r="F905" t="s">
        <v>12607</v>
      </c>
      <c r="G905" t="s">
        <v>74</v>
      </c>
      <c r="H905" t="s">
        <v>74</v>
      </c>
      <c r="I905" t="s">
        <v>12608</v>
      </c>
      <c r="J905" t="s">
        <v>6931</v>
      </c>
      <c r="K905" t="s">
        <v>74</v>
      </c>
      <c r="L905" t="s">
        <v>74</v>
      </c>
      <c r="M905" t="s">
        <v>77</v>
      </c>
      <c r="N905" t="s">
        <v>78</v>
      </c>
      <c r="O905" t="s">
        <v>74</v>
      </c>
      <c r="P905" t="s">
        <v>74</v>
      </c>
      <c r="Q905" t="s">
        <v>74</v>
      </c>
      <c r="R905" t="s">
        <v>74</v>
      </c>
      <c r="S905" t="s">
        <v>74</v>
      </c>
      <c r="T905" t="s">
        <v>74</v>
      </c>
      <c r="U905" t="s">
        <v>12609</v>
      </c>
      <c r="V905" t="s">
        <v>12610</v>
      </c>
      <c r="W905" t="s">
        <v>12611</v>
      </c>
      <c r="X905" t="s">
        <v>12583</v>
      </c>
      <c r="Y905" t="s">
        <v>12612</v>
      </c>
      <c r="Z905" t="s">
        <v>74</v>
      </c>
      <c r="AA905" t="s">
        <v>12613</v>
      </c>
      <c r="AB905" t="s">
        <v>12614</v>
      </c>
      <c r="AC905" t="s">
        <v>74</v>
      </c>
      <c r="AD905" t="s">
        <v>74</v>
      </c>
      <c r="AE905" t="s">
        <v>74</v>
      </c>
      <c r="AF905" t="s">
        <v>74</v>
      </c>
      <c r="AG905">
        <v>22</v>
      </c>
      <c r="AH905">
        <v>37</v>
      </c>
      <c r="AI905">
        <v>43</v>
      </c>
      <c r="AJ905">
        <v>0</v>
      </c>
      <c r="AK905">
        <v>14</v>
      </c>
      <c r="AL905" t="s">
        <v>85</v>
      </c>
      <c r="AM905" t="s">
        <v>86</v>
      </c>
      <c r="AN905" t="s">
        <v>87</v>
      </c>
      <c r="AO905" t="s">
        <v>6938</v>
      </c>
      <c r="AP905" t="s">
        <v>74</v>
      </c>
      <c r="AQ905" t="s">
        <v>74</v>
      </c>
      <c r="AR905" t="s">
        <v>6939</v>
      </c>
      <c r="AS905" t="s">
        <v>6940</v>
      </c>
      <c r="AT905" t="s">
        <v>11758</v>
      </c>
      <c r="AU905">
        <v>2003</v>
      </c>
      <c r="AV905">
        <v>131</v>
      </c>
      <c r="AW905">
        <v>2</v>
      </c>
      <c r="AX905" t="s">
        <v>74</v>
      </c>
      <c r="AY905" t="s">
        <v>74</v>
      </c>
      <c r="AZ905" t="s">
        <v>74</v>
      </c>
      <c r="BA905" t="s">
        <v>74</v>
      </c>
      <c r="BB905">
        <v>435</v>
      </c>
      <c r="BC905">
        <v>458</v>
      </c>
      <c r="BD905" t="s">
        <v>74</v>
      </c>
      <c r="BE905" t="s">
        <v>12615</v>
      </c>
      <c r="BF905" t="str">
        <f>HYPERLINK("http://dx.doi.org/10.1175/1520-0493(2003)131&lt;0435:AHRNSO&gt;2.0.CO;2","http://dx.doi.org/10.1175/1520-0493(2003)131&lt;0435:AHRNSO&gt;2.0.CO;2")</f>
        <v>http://dx.doi.org/10.1175/1520-0493(2003)131&lt;0435:AHRNSO&gt;2.0.CO;2</v>
      </c>
      <c r="BG905" t="s">
        <v>74</v>
      </c>
      <c r="BH905" t="s">
        <v>74</v>
      </c>
      <c r="BI905">
        <v>24</v>
      </c>
      <c r="BJ905" t="s">
        <v>93</v>
      </c>
      <c r="BK905" t="s">
        <v>94</v>
      </c>
      <c r="BL905" t="s">
        <v>93</v>
      </c>
      <c r="BM905" t="s">
        <v>12542</v>
      </c>
      <c r="BN905" t="s">
        <v>74</v>
      </c>
      <c r="BO905" t="s">
        <v>96</v>
      </c>
      <c r="BP905" t="s">
        <v>74</v>
      </c>
      <c r="BQ905" t="s">
        <v>74</v>
      </c>
      <c r="BR905" t="s">
        <v>97</v>
      </c>
      <c r="BS905" t="s">
        <v>12616</v>
      </c>
      <c r="BT905" t="str">
        <f>HYPERLINK("https%3A%2F%2Fwww.webofscience.com%2Fwos%2Fwoscc%2Ffull-record%2FWOS:000180471000011","View Full Record in Web of Science")</f>
        <v>View Full Record in Web of Science</v>
      </c>
    </row>
    <row r="906" spans="1:72" x14ac:dyDescent="0.15">
      <c r="A906" t="s">
        <v>72</v>
      </c>
      <c r="B906" t="s">
        <v>12617</v>
      </c>
      <c r="C906" t="s">
        <v>74</v>
      </c>
      <c r="D906" t="s">
        <v>74</v>
      </c>
      <c r="E906" t="s">
        <v>74</v>
      </c>
      <c r="F906" t="s">
        <v>12617</v>
      </c>
      <c r="G906" t="s">
        <v>74</v>
      </c>
      <c r="H906" t="s">
        <v>74</v>
      </c>
      <c r="I906" t="s">
        <v>12618</v>
      </c>
      <c r="J906" t="s">
        <v>316</v>
      </c>
      <c r="K906" t="s">
        <v>74</v>
      </c>
      <c r="L906" t="s">
        <v>74</v>
      </c>
      <c r="M906" t="s">
        <v>77</v>
      </c>
      <c r="N906" t="s">
        <v>78</v>
      </c>
      <c r="O906" t="s">
        <v>74</v>
      </c>
      <c r="P906" t="s">
        <v>74</v>
      </c>
      <c r="Q906" t="s">
        <v>74</v>
      </c>
      <c r="R906" t="s">
        <v>74</v>
      </c>
      <c r="S906" t="s">
        <v>74</v>
      </c>
      <c r="T906" t="s">
        <v>74</v>
      </c>
      <c r="U906" t="s">
        <v>12619</v>
      </c>
      <c r="V906" t="s">
        <v>12620</v>
      </c>
      <c r="W906" t="s">
        <v>705</v>
      </c>
      <c r="X906" t="s">
        <v>706</v>
      </c>
      <c r="Y906" t="s">
        <v>12621</v>
      </c>
      <c r="Z906" t="s">
        <v>74</v>
      </c>
      <c r="AA906" t="s">
        <v>12622</v>
      </c>
      <c r="AB906" t="s">
        <v>12623</v>
      </c>
      <c r="AC906" t="s">
        <v>74</v>
      </c>
      <c r="AD906" t="s">
        <v>74</v>
      </c>
      <c r="AE906" t="s">
        <v>74</v>
      </c>
      <c r="AF906" t="s">
        <v>74</v>
      </c>
      <c r="AG906">
        <v>11</v>
      </c>
      <c r="AH906">
        <v>19</v>
      </c>
      <c r="AI906">
        <v>21</v>
      </c>
      <c r="AJ906">
        <v>0</v>
      </c>
      <c r="AK906">
        <v>6</v>
      </c>
      <c r="AL906" t="s">
        <v>342</v>
      </c>
      <c r="AM906" t="s">
        <v>229</v>
      </c>
      <c r="AN906" t="s">
        <v>343</v>
      </c>
      <c r="AO906" t="s">
        <v>324</v>
      </c>
      <c r="AP906" t="s">
        <v>74</v>
      </c>
      <c r="AQ906" t="s">
        <v>74</v>
      </c>
      <c r="AR906" t="s">
        <v>326</v>
      </c>
      <c r="AS906" t="s">
        <v>327</v>
      </c>
      <c r="AT906" t="s">
        <v>11758</v>
      </c>
      <c r="AU906">
        <v>2003</v>
      </c>
      <c r="AV906">
        <v>26</v>
      </c>
      <c r="AW906">
        <v>2</v>
      </c>
      <c r="AX906" t="s">
        <v>74</v>
      </c>
      <c r="AY906" t="s">
        <v>74</v>
      </c>
      <c r="AZ906" t="s">
        <v>74</v>
      </c>
      <c r="BA906" t="s">
        <v>74</v>
      </c>
      <c r="BB906">
        <v>79</v>
      </c>
      <c r="BC906">
        <v>82</v>
      </c>
      <c r="BD906" t="s">
        <v>74</v>
      </c>
      <c r="BE906" t="s">
        <v>12624</v>
      </c>
      <c r="BF906" t="str">
        <f>HYPERLINK("http://dx.doi.org/10.1007/s00300-002-0449-9","http://dx.doi.org/10.1007/s00300-002-0449-9")</f>
        <v>http://dx.doi.org/10.1007/s00300-002-0449-9</v>
      </c>
      <c r="BG906" t="s">
        <v>74</v>
      </c>
      <c r="BH906" t="s">
        <v>74</v>
      </c>
      <c r="BI906">
        <v>4</v>
      </c>
      <c r="BJ906" t="s">
        <v>329</v>
      </c>
      <c r="BK906" t="s">
        <v>94</v>
      </c>
      <c r="BL906" t="s">
        <v>330</v>
      </c>
      <c r="BM906" t="s">
        <v>12625</v>
      </c>
      <c r="BN906" t="s">
        <v>74</v>
      </c>
      <c r="BO906" t="s">
        <v>74</v>
      </c>
      <c r="BP906" t="s">
        <v>74</v>
      </c>
      <c r="BQ906" t="s">
        <v>74</v>
      </c>
      <c r="BR906" t="s">
        <v>97</v>
      </c>
      <c r="BS906" t="s">
        <v>12626</v>
      </c>
      <c r="BT906" t="str">
        <f>HYPERLINK("https%3A%2F%2Fwww.webofscience.com%2Fwos%2Fwoscc%2Ffull-record%2FWOS:000181375500002","View Full Record in Web of Science")</f>
        <v>View Full Record in Web of Science</v>
      </c>
    </row>
    <row r="907" spans="1:72" x14ac:dyDescent="0.15">
      <c r="A907" t="s">
        <v>72</v>
      </c>
      <c r="B907" t="s">
        <v>12627</v>
      </c>
      <c r="C907" t="s">
        <v>74</v>
      </c>
      <c r="D907" t="s">
        <v>74</v>
      </c>
      <c r="E907" t="s">
        <v>74</v>
      </c>
      <c r="F907" t="s">
        <v>12627</v>
      </c>
      <c r="G907" t="s">
        <v>74</v>
      </c>
      <c r="H907" t="s">
        <v>74</v>
      </c>
      <c r="I907" t="s">
        <v>12628</v>
      </c>
      <c r="J907" t="s">
        <v>316</v>
      </c>
      <c r="K907" t="s">
        <v>74</v>
      </c>
      <c r="L907" t="s">
        <v>74</v>
      </c>
      <c r="M907" t="s">
        <v>77</v>
      </c>
      <c r="N907" t="s">
        <v>78</v>
      </c>
      <c r="O907" t="s">
        <v>74</v>
      </c>
      <c r="P907" t="s">
        <v>74</v>
      </c>
      <c r="Q907" t="s">
        <v>74</v>
      </c>
      <c r="R907" t="s">
        <v>74</v>
      </c>
      <c r="S907" t="s">
        <v>74</v>
      </c>
      <c r="T907" t="s">
        <v>74</v>
      </c>
      <c r="U907" t="s">
        <v>12629</v>
      </c>
      <c r="V907" t="s">
        <v>12630</v>
      </c>
      <c r="W907" t="s">
        <v>370</v>
      </c>
      <c r="X907" t="s">
        <v>371</v>
      </c>
      <c r="Y907" t="s">
        <v>12631</v>
      </c>
      <c r="Z907" t="s">
        <v>74</v>
      </c>
      <c r="AA907" t="s">
        <v>12632</v>
      </c>
      <c r="AB907" t="s">
        <v>12633</v>
      </c>
      <c r="AC907" t="s">
        <v>74</v>
      </c>
      <c r="AD907" t="s">
        <v>74</v>
      </c>
      <c r="AE907" t="s">
        <v>74</v>
      </c>
      <c r="AF907" t="s">
        <v>74</v>
      </c>
      <c r="AG907">
        <v>31</v>
      </c>
      <c r="AH907">
        <v>39</v>
      </c>
      <c r="AI907">
        <v>41</v>
      </c>
      <c r="AJ907">
        <v>0</v>
      </c>
      <c r="AK907">
        <v>14</v>
      </c>
      <c r="AL907" t="s">
        <v>342</v>
      </c>
      <c r="AM907" t="s">
        <v>229</v>
      </c>
      <c r="AN907" t="s">
        <v>343</v>
      </c>
      <c r="AO907" t="s">
        <v>324</v>
      </c>
      <c r="AP907" t="s">
        <v>74</v>
      </c>
      <c r="AQ907" t="s">
        <v>74</v>
      </c>
      <c r="AR907" t="s">
        <v>326</v>
      </c>
      <c r="AS907" t="s">
        <v>327</v>
      </c>
      <c r="AT907" t="s">
        <v>11758</v>
      </c>
      <c r="AU907">
        <v>2003</v>
      </c>
      <c r="AV907">
        <v>26</v>
      </c>
      <c r="AW907">
        <v>2</v>
      </c>
      <c r="AX907" t="s">
        <v>74</v>
      </c>
      <c r="AY907" t="s">
        <v>74</v>
      </c>
      <c r="AZ907" t="s">
        <v>74</v>
      </c>
      <c r="BA907" t="s">
        <v>74</v>
      </c>
      <c r="BB907">
        <v>99</v>
      </c>
      <c r="BC907">
        <v>104</v>
      </c>
      <c r="BD907" t="s">
        <v>74</v>
      </c>
      <c r="BE907" t="s">
        <v>12634</v>
      </c>
      <c r="BF907" t="str">
        <f>HYPERLINK("http://dx.doi.org/10.1007/s00300-002-0453-0","http://dx.doi.org/10.1007/s00300-002-0453-0")</f>
        <v>http://dx.doi.org/10.1007/s00300-002-0453-0</v>
      </c>
      <c r="BG907" t="s">
        <v>74</v>
      </c>
      <c r="BH907" t="s">
        <v>74</v>
      </c>
      <c r="BI907">
        <v>6</v>
      </c>
      <c r="BJ907" t="s">
        <v>329</v>
      </c>
      <c r="BK907" t="s">
        <v>94</v>
      </c>
      <c r="BL907" t="s">
        <v>330</v>
      </c>
      <c r="BM907" t="s">
        <v>12625</v>
      </c>
      <c r="BN907" t="s">
        <v>74</v>
      </c>
      <c r="BO907" t="s">
        <v>1767</v>
      </c>
      <c r="BP907" t="s">
        <v>74</v>
      </c>
      <c r="BQ907" t="s">
        <v>74</v>
      </c>
      <c r="BR907" t="s">
        <v>97</v>
      </c>
      <c r="BS907" t="s">
        <v>12635</v>
      </c>
      <c r="BT907" t="str">
        <f>HYPERLINK("https%3A%2F%2Fwww.webofscience.com%2Fwos%2Fwoscc%2Ffull-record%2FWOS:000181375500005","View Full Record in Web of Science")</f>
        <v>View Full Record in Web of Science</v>
      </c>
    </row>
    <row r="908" spans="1:72" x14ac:dyDescent="0.15">
      <c r="A908" t="s">
        <v>72</v>
      </c>
      <c r="B908" t="s">
        <v>12636</v>
      </c>
      <c r="C908" t="s">
        <v>74</v>
      </c>
      <c r="D908" t="s">
        <v>74</v>
      </c>
      <c r="E908" t="s">
        <v>74</v>
      </c>
      <c r="F908" t="s">
        <v>12636</v>
      </c>
      <c r="G908" t="s">
        <v>74</v>
      </c>
      <c r="H908" t="s">
        <v>74</v>
      </c>
      <c r="I908" t="s">
        <v>12637</v>
      </c>
      <c r="J908" t="s">
        <v>316</v>
      </c>
      <c r="K908" t="s">
        <v>74</v>
      </c>
      <c r="L908" t="s">
        <v>74</v>
      </c>
      <c r="M908" t="s">
        <v>77</v>
      </c>
      <c r="N908" t="s">
        <v>78</v>
      </c>
      <c r="O908" t="s">
        <v>74</v>
      </c>
      <c r="P908" t="s">
        <v>74</v>
      </c>
      <c r="Q908" t="s">
        <v>74</v>
      </c>
      <c r="R908" t="s">
        <v>74</v>
      </c>
      <c r="S908" t="s">
        <v>74</v>
      </c>
      <c r="T908" t="s">
        <v>74</v>
      </c>
      <c r="U908" t="s">
        <v>12638</v>
      </c>
      <c r="V908" t="s">
        <v>12639</v>
      </c>
      <c r="W908" t="s">
        <v>12640</v>
      </c>
      <c r="X908" t="s">
        <v>12641</v>
      </c>
      <c r="Y908" t="s">
        <v>5479</v>
      </c>
      <c r="Z908" t="s">
        <v>74</v>
      </c>
      <c r="AA908" t="s">
        <v>5481</v>
      </c>
      <c r="AB908" t="s">
        <v>12642</v>
      </c>
      <c r="AC908" t="s">
        <v>74</v>
      </c>
      <c r="AD908" t="s">
        <v>74</v>
      </c>
      <c r="AE908" t="s">
        <v>74</v>
      </c>
      <c r="AF908" t="s">
        <v>74</v>
      </c>
      <c r="AG908">
        <v>28</v>
      </c>
      <c r="AH908">
        <v>62</v>
      </c>
      <c r="AI908">
        <v>66</v>
      </c>
      <c r="AJ908">
        <v>0</v>
      </c>
      <c r="AK908">
        <v>25</v>
      </c>
      <c r="AL908" t="s">
        <v>342</v>
      </c>
      <c r="AM908" t="s">
        <v>229</v>
      </c>
      <c r="AN908" t="s">
        <v>343</v>
      </c>
      <c r="AO908" t="s">
        <v>324</v>
      </c>
      <c r="AP908" t="s">
        <v>74</v>
      </c>
      <c r="AQ908" t="s">
        <v>74</v>
      </c>
      <c r="AR908" t="s">
        <v>326</v>
      </c>
      <c r="AS908" t="s">
        <v>327</v>
      </c>
      <c r="AT908" t="s">
        <v>11758</v>
      </c>
      <c r="AU908">
        <v>2003</v>
      </c>
      <c r="AV908">
        <v>26</v>
      </c>
      <c r="AW908">
        <v>2</v>
      </c>
      <c r="AX908" t="s">
        <v>74</v>
      </c>
      <c r="AY908" t="s">
        <v>74</v>
      </c>
      <c r="AZ908" t="s">
        <v>74</v>
      </c>
      <c r="BA908" t="s">
        <v>74</v>
      </c>
      <c r="BB908">
        <v>124</v>
      </c>
      <c r="BC908">
        <v>128</v>
      </c>
      <c r="BD908" t="s">
        <v>74</v>
      </c>
      <c r="BE908" t="s">
        <v>12643</v>
      </c>
      <c r="BF908" t="str">
        <f>HYPERLINK("http://dx.doi.org/10.1007/s00300-002-0459-7","http://dx.doi.org/10.1007/s00300-002-0459-7")</f>
        <v>http://dx.doi.org/10.1007/s00300-002-0459-7</v>
      </c>
      <c r="BG908" t="s">
        <v>74</v>
      </c>
      <c r="BH908" t="s">
        <v>74</v>
      </c>
      <c r="BI908">
        <v>5</v>
      </c>
      <c r="BJ908" t="s">
        <v>329</v>
      </c>
      <c r="BK908" t="s">
        <v>94</v>
      </c>
      <c r="BL908" t="s">
        <v>330</v>
      </c>
      <c r="BM908" t="s">
        <v>12625</v>
      </c>
      <c r="BN908" t="s">
        <v>74</v>
      </c>
      <c r="BO908" t="s">
        <v>74</v>
      </c>
      <c r="BP908" t="s">
        <v>74</v>
      </c>
      <c r="BQ908" t="s">
        <v>74</v>
      </c>
      <c r="BR908" t="s">
        <v>97</v>
      </c>
      <c r="BS908" t="s">
        <v>12644</v>
      </c>
      <c r="BT908" t="str">
        <f>HYPERLINK("https%3A%2F%2Fwww.webofscience.com%2Fwos%2Fwoscc%2Ffull-record%2FWOS:000181375500008","View Full Record in Web of Science")</f>
        <v>View Full Record in Web of Science</v>
      </c>
    </row>
    <row r="909" spans="1:72" x14ac:dyDescent="0.15">
      <c r="A909" t="s">
        <v>72</v>
      </c>
      <c r="B909" t="s">
        <v>12645</v>
      </c>
      <c r="C909" t="s">
        <v>74</v>
      </c>
      <c r="D909" t="s">
        <v>74</v>
      </c>
      <c r="E909" t="s">
        <v>74</v>
      </c>
      <c r="F909" t="s">
        <v>12645</v>
      </c>
      <c r="G909" t="s">
        <v>74</v>
      </c>
      <c r="H909" t="s">
        <v>74</v>
      </c>
      <c r="I909" t="s">
        <v>12646</v>
      </c>
      <c r="J909" t="s">
        <v>316</v>
      </c>
      <c r="K909" t="s">
        <v>74</v>
      </c>
      <c r="L909" t="s">
        <v>74</v>
      </c>
      <c r="M909" t="s">
        <v>77</v>
      </c>
      <c r="N909" t="s">
        <v>78</v>
      </c>
      <c r="O909" t="s">
        <v>74</v>
      </c>
      <c r="P909" t="s">
        <v>74</v>
      </c>
      <c r="Q909" t="s">
        <v>74</v>
      </c>
      <c r="R909" t="s">
        <v>74</v>
      </c>
      <c r="S909" t="s">
        <v>74</v>
      </c>
      <c r="T909" t="s">
        <v>74</v>
      </c>
      <c r="U909" t="s">
        <v>12647</v>
      </c>
      <c r="V909" t="s">
        <v>12648</v>
      </c>
      <c r="W909" t="s">
        <v>12649</v>
      </c>
      <c r="X909" t="s">
        <v>457</v>
      </c>
      <c r="Y909" t="s">
        <v>12650</v>
      </c>
      <c r="Z909" t="s">
        <v>74</v>
      </c>
      <c r="AA909" t="s">
        <v>74</v>
      </c>
      <c r="AB909" t="s">
        <v>12651</v>
      </c>
      <c r="AC909" t="s">
        <v>74</v>
      </c>
      <c r="AD909" t="s">
        <v>74</v>
      </c>
      <c r="AE909" t="s">
        <v>74</v>
      </c>
      <c r="AF909" t="s">
        <v>74</v>
      </c>
      <c r="AG909">
        <v>26</v>
      </c>
      <c r="AH909">
        <v>27</v>
      </c>
      <c r="AI909">
        <v>29</v>
      </c>
      <c r="AJ909">
        <v>0</v>
      </c>
      <c r="AK909">
        <v>12</v>
      </c>
      <c r="AL909" t="s">
        <v>342</v>
      </c>
      <c r="AM909" t="s">
        <v>229</v>
      </c>
      <c r="AN909" t="s">
        <v>343</v>
      </c>
      <c r="AO909" t="s">
        <v>324</v>
      </c>
      <c r="AP909" t="s">
        <v>74</v>
      </c>
      <c r="AQ909" t="s">
        <v>74</v>
      </c>
      <c r="AR909" t="s">
        <v>326</v>
      </c>
      <c r="AS909" t="s">
        <v>327</v>
      </c>
      <c r="AT909" t="s">
        <v>11758</v>
      </c>
      <c r="AU909">
        <v>2003</v>
      </c>
      <c r="AV909">
        <v>26</v>
      </c>
      <c r="AW909">
        <v>2</v>
      </c>
      <c r="AX909" t="s">
        <v>74</v>
      </c>
      <c r="AY909" t="s">
        <v>74</v>
      </c>
      <c r="AZ909" t="s">
        <v>74</v>
      </c>
      <c r="BA909" t="s">
        <v>74</v>
      </c>
      <c r="BB909">
        <v>129</v>
      </c>
      <c r="BC909">
        <v>141</v>
      </c>
      <c r="BD909" t="s">
        <v>74</v>
      </c>
      <c r="BE909" t="s">
        <v>12652</v>
      </c>
      <c r="BF909" t="str">
        <f>HYPERLINK("http://dx.doi.org/10.1007/s00300-002-0464-x","http://dx.doi.org/10.1007/s00300-002-0464-x")</f>
        <v>http://dx.doi.org/10.1007/s00300-002-0464-x</v>
      </c>
      <c r="BG909" t="s">
        <v>74</v>
      </c>
      <c r="BH909" t="s">
        <v>74</v>
      </c>
      <c r="BI909">
        <v>13</v>
      </c>
      <c r="BJ909" t="s">
        <v>329</v>
      </c>
      <c r="BK909" t="s">
        <v>94</v>
      </c>
      <c r="BL909" t="s">
        <v>330</v>
      </c>
      <c r="BM909" t="s">
        <v>12625</v>
      </c>
      <c r="BN909" t="s">
        <v>74</v>
      </c>
      <c r="BO909" t="s">
        <v>74</v>
      </c>
      <c r="BP909" t="s">
        <v>74</v>
      </c>
      <c r="BQ909" t="s">
        <v>74</v>
      </c>
      <c r="BR909" t="s">
        <v>97</v>
      </c>
      <c r="BS909" t="s">
        <v>12653</v>
      </c>
      <c r="BT909" t="str">
        <f>HYPERLINK("https%3A%2F%2Fwww.webofscience.com%2Fwos%2Fwoscc%2Ffull-record%2FWOS:000181375500009","View Full Record in Web of Science")</f>
        <v>View Full Record in Web of Science</v>
      </c>
    </row>
    <row r="910" spans="1:72" x14ac:dyDescent="0.15">
      <c r="A910" t="s">
        <v>72</v>
      </c>
      <c r="B910" t="s">
        <v>12654</v>
      </c>
      <c r="C910" t="s">
        <v>74</v>
      </c>
      <c r="D910" t="s">
        <v>74</v>
      </c>
      <c r="E910" t="s">
        <v>74</v>
      </c>
      <c r="F910" t="s">
        <v>12654</v>
      </c>
      <c r="G910" t="s">
        <v>74</v>
      </c>
      <c r="H910" t="s">
        <v>74</v>
      </c>
      <c r="I910" t="s">
        <v>12655</v>
      </c>
      <c r="J910" t="s">
        <v>12656</v>
      </c>
      <c r="K910" t="s">
        <v>74</v>
      </c>
      <c r="L910" t="s">
        <v>74</v>
      </c>
      <c r="M910" t="s">
        <v>77</v>
      </c>
      <c r="N910" t="s">
        <v>78</v>
      </c>
      <c r="O910" t="s">
        <v>74</v>
      </c>
      <c r="P910" t="s">
        <v>74</v>
      </c>
      <c r="Q910" t="s">
        <v>74</v>
      </c>
      <c r="R910" t="s">
        <v>74</v>
      </c>
      <c r="S910" t="s">
        <v>74</v>
      </c>
      <c r="T910" t="s">
        <v>74</v>
      </c>
      <c r="U910" t="s">
        <v>12657</v>
      </c>
      <c r="V910" t="s">
        <v>12658</v>
      </c>
      <c r="W910" t="s">
        <v>12659</v>
      </c>
      <c r="X910" t="s">
        <v>12660</v>
      </c>
      <c r="Y910" t="s">
        <v>12661</v>
      </c>
      <c r="Z910" t="s">
        <v>12662</v>
      </c>
      <c r="AA910" t="s">
        <v>12663</v>
      </c>
      <c r="AB910" t="s">
        <v>3708</v>
      </c>
      <c r="AC910" t="s">
        <v>74</v>
      </c>
      <c r="AD910" t="s">
        <v>74</v>
      </c>
      <c r="AE910" t="s">
        <v>74</v>
      </c>
      <c r="AF910" t="s">
        <v>74</v>
      </c>
      <c r="AG910">
        <v>75</v>
      </c>
      <c r="AH910">
        <v>28</v>
      </c>
      <c r="AI910">
        <v>29</v>
      </c>
      <c r="AJ910">
        <v>0</v>
      </c>
      <c r="AK910">
        <v>9</v>
      </c>
      <c r="AL910" t="s">
        <v>1571</v>
      </c>
      <c r="AM910" t="s">
        <v>229</v>
      </c>
      <c r="AN910" t="s">
        <v>6371</v>
      </c>
      <c r="AO910" t="s">
        <v>12664</v>
      </c>
      <c r="AP910" t="s">
        <v>12665</v>
      </c>
      <c r="AQ910" t="s">
        <v>74</v>
      </c>
      <c r="AR910" t="s">
        <v>12666</v>
      </c>
      <c r="AS910" t="s">
        <v>12667</v>
      </c>
      <c r="AT910" t="s">
        <v>11758</v>
      </c>
      <c r="AU910">
        <v>2003</v>
      </c>
      <c r="AV910">
        <v>84</v>
      </c>
      <c r="AW910">
        <v>2</v>
      </c>
      <c r="AX910" t="s">
        <v>74</v>
      </c>
      <c r="AY910" t="s">
        <v>74</v>
      </c>
      <c r="AZ910" t="s">
        <v>74</v>
      </c>
      <c r="BA910" t="s">
        <v>74</v>
      </c>
      <c r="BB910">
        <v>161</v>
      </c>
      <c r="BC910">
        <v>173</v>
      </c>
      <c r="BD910" t="s">
        <v>12668</v>
      </c>
      <c r="BE910" t="s">
        <v>12669</v>
      </c>
      <c r="BF910" t="str">
        <f>HYPERLINK("http://dx.doi.org/10.1016/S0034-4257(02)00103-7","http://dx.doi.org/10.1016/S0034-4257(02)00103-7")</f>
        <v>http://dx.doi.org/10.1016/S0034-4257(02)00103-7</v>
      </c>
      <c r="BG910" t="s">
        <v>74</v>
      </c>
      <c r="BH910" t="s">
        <v>74</v>
      </c>
      <c r="BI910">
        <v>13</v>
      </c>
      <c r="BJ910" t="s">
        <v>12670</v>
      </c>
      <c r="BK910" t="s">
        <v>94</v>
      </c>
      <c r="BL910" t="s">
        <v>12671</v>
      </c>
      <c r="BM910" t="s">
        <v>12672</v>
      </c>
      <c r="BN910" t="s">
        <v>74</v>
      </c>
      <c r="BO910" t="s">
        <v>74</v>
      </c>
      <c r="BP910" t="s">
        <v>74</v>
      </c>
      <c r="BQ910" t="s">
        <v>74</v>
      </c>
      <c r="BR910" t="s">
        <v>97</v>
      </c>
      <c r="BS910" t="s">
        <v>12673</v>
      </c>
      <c r="BT910" t="str">
        <f>HYPERLINK("https%3A%2F%2Fwww.webofscience.com%2Fwos%2Fwoscc%2Ffull-record%2FWOS:000182592900001","View Full Record in Web of Science")</f>
        <v>View Full Record in Web of Science</v>
      </c>
    </row>
    <row r="911" spans="1:72" x14ac:dyDescent="0.15">
      <c r="A911" t="s">
        <v>72</v>
      </c>
      <c r="B911" t="s">
        <v>12674</v>
      </c>
      <c r="C911" t="s">
        <v>74</v>
      </c>
      <c r="D911" t="s">
        <v>74</v>
      </c>
      <c r="E911" t="s">
        <v>74</v>
      </c>
      <c r="F911" t="s">
        <v>12674</v>
      </c>
      <c r="G911" t="s">
        <v>74</v>
      </c>
      <c r="H911" t="s">
        <v>74</v>
      </c>
      <c r="I911" t="s">
        <v>12675</v>
      </c>
      <c r="J911" t="s">
        <v>12676</v>
      </c>
      <c r="K911" t="s">
        <v>74</v>
      </c>
      <c r="L911" t="s">
        <v>74</v>
      </c>
      <c r="M911" t="s">
        <v>12677</v>
      </c>
      <c r="N911" t="s">
        <v>78</v>
      </c>
      <c r="O911" t="s">
        <v>74</v>
      </c>
      <c r="P911" t="s">
        <v>74</v>
      </c>
      <c r="Q911" t="s">
        <v>74</v>
      </c>
      <c r="R911" t="s">
        <v>74</v>
      </c>
      <c r="S911" t="s">
        <v>74</v>
      </c>
      <c r="T911" t="s">
        <v>12678</v>
      </c>
      <c r="U911" t="s">
        <v>74</v>
      </c>
      <c r="V911" t="s">
        <v>12679</v>
      </c>
      <c r="W911" t="s">
        <v>12680</v>
      </c>
      <c r="X911" t="s">
        <v>12681</v>
      </c>
      <c r="Y911" t="s">
        <v>12682</v>
      </c>
      <c r="Z911" t="s">
        <v>74</v>
      </c>
      <c r="AA911" t="s">
        <v>12683</v>
      </c>
      <c r="AB911" t="s">
        <v>11206</v>
      </c>
      <c r="AC911" t="s">
        <v>74</v>
      </c>
      <c r="AD911" t="s">
        <v>74</v>
      </c>
      <c r="AE911" t="s">
        <v>74</v>
      </c>
      <c r="AF911" t="s">
        <v>74</v>
      </c>
      <c r="AG911">
        <v>7</v>
      </c>
      <c r="AH911">
        <v>1</v>
      </c>
      <c r="AI911">
        <v>8</v>
      </c>
      <c r="AJ911">
        <v>0</v>
      </c>
      <c r="AK911">
        <v>6</v>
      </c>
      <c r="AL911" t="s">
        <v>12684</v>
      </c>
      <c r="AM911" t="s">
        <v>3370</v>
      </c>
      <c r="AN911" t="s">
        <v>12685</v>
      </c>
      <c r="AO911" t="s">
        <v>12686</v>
      </c>
      <c r="AP911" t="s">
        <v>74</v>
      </c>
      <c r="AQ911" t="s">
        <v>74</v>
      </c>
      <c r="AR911" t="s">
        <v>12687</v>
      </c>
      <c r="AS911" t="s">
        <v>12688</v>
      </c>
      <c r="AT911" t="s">
        <v>11758</v>
      </c>
      <c r="AU911">
        <v>2003</v>
      </c>
      <c r="AV911">
        <v>23</v>
      </c>
      <c r="AW911">
        <v>1</v>
      </c>
      <c r="AX911" t="s">
        <v>74</v>
      </c>
      <c r="AY911" t="s">
        <v>74</v>
      </c>
      <c r="AZ911" t="s">
        <v>74</v>
      </c>
      <c r="BA911" t="s">
        <v>74</v>
      </c>
      <c r="BB911">
        <v>94</v>
      </c>
      <c r="BC911">
        <v>97</v>
      </c>
      <c r="BD911" t="s">
        <v>74</v>
      </c>
      <c r="BE911" t="s">
        <v>74</v>
      </c>
      <c r="BF911" t="s">
        <v>74</v>
      </c>
      <c r="BG911" t="s">
        <v>74</v>
      </c>
      <c r="BH911" t="s">
        <v>74</v>
      </c>
      <c r="BI911">
        <v>4</v>
      </c>
      <c r="BJ911" t="s">
        <v>4068</v>
      </c>
      <c r="BK911" t="s">
        <v>94</v>
      </c>
      <c r="BL911" t="s">
        <v>4068</v>
      </c>
      <c r="BM911" t="s">
        <v>12689</v>
      </c>
      <c r="BN911">
        <v>12939980</v>
      </c>
      <c r="BO911" t="s">
        <v>74</v>
      </c>
      <c r="BP911" t="s">
        <v>74</v>
      </c>
      <c r="BQ911" t="s">
        <v>74</v>
      </c>
      <c r="BR911" t="s">
        <v>97</v>
      </c>
      <c r="BS911" t="s">
        <v>12690</v>
      </c>
      <c r="BT911" t="str">
        <f>HYPERLINK("https%3A%2F%2Fwww.webofscience.com%2Fwos%2Fwoscc%2Ffull-record%2FWOS:000181586700028","View Full Record in Web of Science")</f>
        <v>View Full Record in Web of Science</v>
      </c>
    </row>
    <row r="912" spans="1:72" x14ac:dyDescent="0.15">
      <c r="A912" t="s">
        <v>72</v>
      </c>
      <c r="B912" t="s">
        <v>12691</v>
      </c>
      <c r="C912" t="s">
        <v>74</v>
      </c>
      <c r="D912" t="s">
        <v>74</v>
      </c>
      <c r="E912" t="s">
        <v>74</v>
      </c>
      <c r="F912" t="s">
        <v>12691</v>
      </c>
      <c r="G912" t="s">
        <v>74</v>
      </c>
      <c r="H912" t="s">
        <v>74</v>
      </c>
      <c r="I912" t="s">
        <v>12692</v>
      </c>
      <c r="J912" t="s">
        <v>9941</v>
      </c>
      <c r="K912" t="s">
        <v>74</v>
      </c>
      <c r="L912" t="s">
        <v>74</v>
      </c>
      <c r="M912" t="s">
        <v>77</v>
      </c>
      <c r="N912" t="s">
        <v>78</v>
      </c>
      <c r="O912" t="s">
        <v>74</v>
      </c>
      <c r="P912" t="s">
        <v>74</v>
      </c>
      <c r="Q912" t="s">
        <v>74</v>
      </c>
      <c r="R912" t="s">
        <v>74</v>
      </c>
      <c r="S912" t="s">
        <v>74</v>
      </c>
      <c r="T912" t="s">
        <v>74</v>
      </c>
      <c r="U912" t="s">
        <v>12693</v>
      </c>
      <c r="V912" t="s">
        <v>12694</v>
      </c>
      <c r="W912" t="s">
        <v>12695</v>
      </c>
      <c r="X912" t="s">
        <v>12696</v>
      </c>
      <c r="Y912" t="s">
        <v>12697</v>
      </c>
      <c r="Z912" t="s">
        <v>74</v>
      </c>
      <c r="AA912" t="s">
        <v>12698</v>
      </c>
      <c r="AB912" t="s">
        <v>12699</v>
      </c>
      <c r="AC912" t="s">
        <v>74</v>
      </c>
      <c r="AD912" t="s">
        <v>74</v>
      </c>
      <c r="AE912" t="s">
        <v>74</v>
      </c>
      <c r="AF912" t="s">
        <v>74</v>
      </c>
      <c r="AG912">
        <v>32</v>
      </c>
      <c r="AH912">
        <v>67</v>
      </c>
      <c r="AI912">
        <v>73</v>
      </c>
      <c r="AJ912">
        <v>0</v>
      </c>
      <c r="AK912">
        <v>47</v>
      </c>
      <c r="AL912" t="s">
        <v>5513</v>
      </c>
      <c r="AM912" t="s">
        <v>5514</v>
      </c>
      <c r="AN912" t="s">
        <v>5515</v>
      </c>
      <c r="AO912" t="s">
        <v>9952</v>
      </c>
      <c r="AP912" t="s">
        <v>74</v>
      </c>
      <c r="AQ912" t="s">
        <v>74</v>
      </c>
      <c r="AR912" t="s">
        <v>9953</v>
      </c>
      <c r="AS912" t="s">
        <v>9954</v>
      </c>
      <c r="AT912" t="s">
        <v>11758</v>
      </c>
      <c r="AU912">
        <v>2003</v>
      </c>
      <c r="AV912">
        <v>55</v>
      </c>
      <c r="AW912">
        <v>1</v>
      </c>
      <c r="AX912" t="s">
        <v>74</v>
      </c>
      <c r="AY912" t="s">
        <v>74</v>
      </c>
      <c r="AZ912" t="s">
        <v>74</v>
      </c>
      <c r="BA912" t="s">
        <v>74</v>
      </c>
      <c r="BB912">
        <v>11</v>
      </c>
      <c r="BC912">
        <v>22</v>
      </c>
      <c r="BD912" t="s">
        <v>74</v>
      </c>
      <c r="BE912" t="s">
        <v>12700</v>
      </c>
      <c r="BF912" t="str">
        <f>HYPERLINK("http://dx.doi.org/10.1034/j.1600-0889.2003.042.x","http://dx.doi.org/10.1034/j.1600-0889.2003.042.x")</f>
        <v>http://dx.doi.org/10.1034/j.1600-0889.2003.042.x</v>
      </c>
      <c r="BG912" t="s">
        <v>74</v>
      </c>
      <c r="BH912" t="s">
        <v>74</v>
      </c>
      <c r="BI912">
        <v>12</v>
      </c>
      <c r="BJ912" t="s">
        <v>93</v>
      </c>
      <c r="BK912" t="s">
        <v>94</v>
      </c>
      <c r="BL912" t="s">
        <v>93</v>
      </c>
      <c r="BM912" t="s">
        <v>12701</v>
      </c>
      <c r="BN912" t="s">
        <v>74</v>
      </c>
      <c r="BO912" t="s">
        <v>11985</v>
      </c>
      <c r="BP912" t="s">
        <v>74</v>
      </c>
      <c r="BQ912" t="s">
        <v>74</v>
      </c>
      <c r="BR912" t="s">
        <v>97</v>
      </c>
      <c r="BS912" t="s">
        <v>12702</v>
      </c>
      <c r="BT912" t="str">
        <f>HYPERLINK("https%3A%2F%2Fwww.webofscience.com%2Fwos%2Fwoscc%2Ffull-record%2FWOS:000181340700002","View Full Record in Web of Science")</f>
        <v>View Full Record in Web of Science</v>
      </c>
    </row>
    <row r="913" spans="1:72" x14ac:dyDescent="0.15">
      <c r="A913" t="s">
        <v>72</v>
      </c>
      <c r="B913" t="s">
        <v>12703</v>
      </c>
      <c r="C913" t="s">
        <v>74</v>
      </c>
      <c r="D913" t="s">
        <v>74</v>
      </c>
      <c r="E913" t="s">
        <v>74</v>
      </c>
      <c r="F913" t="s">
        <v>12703</v>
      </c>
      <c r="G913" t="s">
        <v>74</v>
      </c>
      <c r="H913" t="s">
        <v>74</v>
      </c>
      <c r="I913" t="s">
        <v>12704</v>
      </c>
      <c r="J913" t="s">
        <v>9941</v>
      </c>
      <c r="K913" t="s">
        <v>74</v>
      </c>
      <c r="L913" t="s">
        <v>74</v>
      </c>
      <c r="M913" t="s">
        <v>77</v>
      </c>
      <c r="N913" t="s">
        <v>78</v>
      </c>
      <c r="O913" t="s">
        <v>74</v>
      </c>
      <c r="P913" t="s">
        <v>74</v>
      </c>
      <c r="Q913" t="s">
        <v>74</v>
      </c>
      <c r="R913" t="s">
        <v>74</v>
      </c>
      <c r="S913" t="s">
        <v>74</v>
      </c>
      <c r="T913" t="s">
        <v>74</v>
      </c>
      <c r="U913" t="s">
        <v>12705</v>
      </c>
      <c r="V913" t="s">
        <v>12706</v>
      </c>
      <c r="W913" t="s">
        <v>12707</v>
      </c>
      <c r="X913" t="s">
        <v>12708</v>
      </c>
      <c r="Y913" t="s">
        <v>12709</v>
      </c>
      <c r="Z913" t="s">
        <v>74</v>
      </c>
      <c r="AA913" t="s">
        <v>74</v>
      </c>
      <c r="AB913" t="s">
        <v>74</v>
      </c>
      <c r="AC913" t="s">
        <v>74</v>
      </c>
      <c r="AD913" t="s">
        <v>74</v>
      </c>
      <c r="AE913" t="s">
        <v>74</v>
      </c>
      <c r="AF913" t="s">
        <v>74</v>
      </c>
      <c r="AG913">
        <v>39</v>
      </c>
      <c r="AH913">
        <v>36</v>
      </c>
      <c r="AI913">
        <v>37</v>
      </c>
      <c r="AJ913">
        <v>1</v>
      </c>
      <c r="AK913">
        <v>10</v>
      </c>
      <c r="AL913" t="s">
        <v>5513</v>
      </c>
      <c r="AM913" t="s">
        <v>5514</v>
      </c>
      <c r="AN913" t="s">
        <v>5515</v>
      </c>
      <c r="AO913" t="s">
        <v>9952</v>
      </c>
      <c r="AP913" t="s">
        <v>74</v>
      </c>
      <c r="AQ913" t="s">
        <v>74</v>
      </c>
      <c r="AR913" t="s">
        <v>9953</v>
      </c>
      <c r="AS913" t="s">
        <v>9954</v>
      </c>
      <c r="AT913" t="s">
        <v>11758</v>
      </c>
      <c r="AU913">
        <v>2003</v>
      </c>
      <c r="AV913">
        <v>55</v>
      </c>
      <c r="AW913">
        <v>1</v>
      </c>
      <c r="AX913" t="s">
        <v>74</v>
      </c>
      <c r="AY913" t="s">
        <v>74</v>
      </c>
      <c r="AZ913" t="s">
        <v>74</v>
      </c>
      <c r="BA913" t="s">
        <v>74</v>
      </c>
      <c r="BB913">
        <v>71</v>
      </c>
      <c r="BC913">
        <v>79</v>
      </c>
      <c r="BD913" t="s">
        <v>74</v>
      </c>
      <c r="BE913" t="s">
        <v>12710</v>
      </c>
      <c r="BF913" t="str">
        <f>HYPERLINK("http://dx.doi.org/10.1034/j.1600-0889.2003.00032.x","http://dx.doi.org/10.1034/j.1600-0889.2003.00032.x")</f>
        <v>http://dx.doi.org/10.1034/j.1600-0889.2003.00032.x</v>
      </c>
      <c r="BG913" t="s">
        <v>74</v>
      </c>
      <c r="BH913" t="s">
        <v>74</v>
      </c>
      <c r="BI913">
        <v>9</v>
      </c>
      <c r="BJ913" t="s">
        <v>93</v>
      </c>
      <c r="BK913" t="s">
        <v>94</v>
      </c>
      <c r="BL913" t="s">
        <v>93</v>
      </c>
      <c r="BM913" t="s">
        <v>12701</v>
      </c>
      <c r="BN913" t="s">
        <v>74</v>
      </c>
      <c r="BO913" t="s">
        <v>759</v>
      </c>
      <c r="BP913" t="s">
        <v>74</v>
      </c>
      <c r="BQ913" t="s">
        <v>74</v>
      </c>
      <c r="BR913" t="s">
        <v>97</v>
      </c>
      <c r="BS913" t="s">
        <v>12711</v>
      </c>
      <c r="BT913" t="str">
        <f>HYPERLINK("https%3A%2F%2Fwww.webofscience.com%2Fwos%2Fwoscc%2Ffull-record%2FWOS:000181340700006","View Full Record in Web of Science")</f>
        <v>View Full Record in Web of Science</v>
      </c>
    </row>
    <row r="914" spans="1:72" x14ac:dyDescent="0.15">
      <c r="A914" t="s">
        <v>72</v>
      </c>
      <c r="B914" t="s">
        <v>12712</v>
      </c>
      <c r="C914" t="s">
        <v>74</v>
      </c>
      <c r="D914" t="s">
        <v>74</v>
      </c>
      <c r="E914" t="s">
        <v>74</v>
      </c>
      <c r="F914" t="s">
        <v>12713</v>
      </c>
      <c r="G914" t="s">
        <v>74</v>
      </c>
      <c r="H914" t="s">
        <v>74</v>
      </c>
      <c r="I914" t="s">
        <v>12714</v>
      </c>
      <c r="J914" t="s">
        <v>12715</v>
      </c>
      <c r="K914" t="s">
        <v>74</v>
      </c>
      <c r="L914" t="s">
        <v>74</v>
      </c>
      <c r="M914" t="s">
        <v>77</v>
      </c>
      <c r="N914" t="s">
        <v>78</v>
      </c>
      <c r="O914" t="s">
        <v>74</v>
      </c>
      <c r="P914" t="s">
        <v>74</v>
      </c>
      <c r="Q914" t="s">
        <v>74</v>
      </c>
      <c r="R914" t="s">
        <v>74</v>
      </c>
      <c r="S914" t="s">
        <v>74</v>
      </c>
      <c r="T914" t="s">
        <v>12716</v>
      </c>
      <c r="U914" t="s">
        <v>74</v>
      </c>
      <c r="V914" t="s">
        <v>12717</v>
      </c>
      <c r="W914" t="s">
        <v>12718</v>
      </c>
      <c r="X914" t="s">
        <v>12719</v>
      </c>
      <c r="Y914" t="s">
        <v>12720</v>
      </c>
      <c r="Z914" t="s">
        <v>74</v>
      </c>
      <c r="AA914" t="s">
        <v>12721</v>
      </c>
      <c r="AB914" t="s">
        <v>12722</v>
      </c>
      <c r="AC914" t="s">
        <v>12723</v>
      </c>
      <c r="AD914" t="s">
        <v>12723</v>
      </c>
      <c r="AE914" t="s">
        <v>12724</v>
      </c>
      <c r="AF914" t="s">
        <v>74</v>
      </c>
      <c r="AG914">
        <v>78</v>
      </c>
      <c r="AH914">
        <v>40</v>
      </c>
      <c r="AI914">
        <v>46</v>
      </c>
      <c r="AJ914">
        <v>0</v>
      </c>
      <c r="AK914">
        <v>10</v>
      </c>
      <c r="AL914" t="s">
        <v>207</v>
      </c>
      <c r="AM914" t="s">
        <v>208</v>
      </c>
      <c r="AN914" t="s">
        <v>209</v>
      </c>
      <c r="AO914" t="s">
        <v>12725</v>
      </c>
      <c r="AP914" t="s">
        <v>12726</v>
      </c>
      <c r="AQ914" t="s">
        <v>74</v>
      </c>
      <c r="AR914" t="s">
        <v>12727</v>
      </c>
      <c r="AS914" t="s">
        <v>12728</v>
      </c>
      <c r="AT914" t="s">
        <v>11758</v>
      </c>
      <c r="AU914">
        <v>2003</v>
      </c>
      <c r="AV914">
        <v>11</v>
      </c>
      <c r="AW914" t="s">
        <v>787</v>
      </c>
      <c r="AX914" t="s">
        <v>74</v>
      </c>
      <c r="AY914" t="s">
        <v>74</v>
      </c>
      <c r="AZ914" t="s">
        <v>74</v>
      </c>
      <c r="BA914" t="s">
        <v>74</v>
      </c>
      <c r="BB914">
        <v>37</v>
      </c>
      <c r="BC914">
        <v>49</v>
      </c>
      <c r="BD914" t="s">
        <v>74</v>
      </c>
      <c r="BE914" t="s">
        <v>12729</v>
      </c>
      <c r="BF914" t="str">
        <f>HYPERLINK("http://dx.doi.org/10.1023/A:1022005504855","http://dx.doi.org/10.1023/A:1022005504855")</f>
        <v>http://dx.doi.org/10.1023/A:1022005504855</v>
      </c>
      <c r="BG914" t="s">
        <v>74</v>
      </c>
      <c r="BH914" t="s">
        <v>74</v>
      </c>
      <c r="BI914">
        <v>13</v>
      </c>
      <c r="BJ914" t="s">
        <v>12730</v>
      </c>
      <c r="BK914" t="s">
        <v>94</v>
      </c>
      <c r="BL914" t="s">
        <v>12731</v>
      </c>
      <c r="BM914" t="s">
        <v>12732</v>
      </c>
      <c r="BN914" t="s">
        <v>74</v>
      </c>
      <c r="BO914" t="s">
        <v>74</v>
      </c>
      <c r="BP914" t="s">
        <v>74</v>
      </c>
      <c r="BQ914" t="s">
        <v>74</v>
      </c>
      <c r="BR914" t="s">
        <v>97</v>
      </c>
      <c r="BS914" t="s">
        <v>12733</v>
      </c>
      <c r="BT914" t="str">
        <f>HYPERLINK("https%3A%2F%2Fwww.webofscience.com%2Fwos%2Fwoscc%2Ffull-record%2FWOS:000411977700004","View Full Record in Web of Science")</f>
        <v>View Full Record in Web of Science</v>
      </c>
    </row>
    <row r="915" spans="1:72" x14ac:dyDescent="0.15">
      <c r="A915" t="s">
        <v>72</v>
      </c>
      <c r="B915" t="s">
        <v>12734</v>
      </c>
      <c r="C915" t="s">
        <v>74</v>
      </c>
      <c r="D915" t="s">
        <v>74</v>
      </c>
      <c r="E915" t="s">
        <v>74</v>
      </c>
      <c r="F915" t="s">
        <v>12734</v>
      </c>
      <c r="G915" t="s">
        <v>74</v>
      </c>
      <c r="H915" t="s">
        <v>74</v>
      </c>
      <c r="I915" t="s">
        <v>12735</v>
      </c>
      <c r="J915" t="s">
        <v>12736</v>
      </c>
      <c r="K915" t="s">
        <v>74</v>
      </c>
      <c r="L915" t="s">
        <v>74</v>
      </c>
      <c r="M915" t="s">
        <v>77</v>
      </c>
      <c r="N915" t="s">
        <v>556</v>
      </c>
      <c r="O915" t="s">
        <v>74</v>
      </c>
      <c r="P915" t="s">
        <v>74</v>
      </c>
      <c r="Q915" t="s">
        <v>74</v>
      </c>
      <c r="R915" t="s">
        <v>74</v>
      </c>
      <c r="S915" t="s">
        <v>74</v>
      </c>
      <c r="T915" t="s">
        <v>12737</v>
      </c>
      <c r="U915" t="s">
        <v>12738</v>
      </c>
      <c r="V915" t="s">
        <v>12739</v>
      </c>
      <c r="W915" t="s">
        <v>12740</v>
      </c>
      <c r="X915" t="s">
        <v>5427</v>
      </c>
      <c r="Y915" t="s">
        <v>12741</v>
      </c>
      <c r="Z915" t="s">
        <v>12742</v>
      </c>
      <c r="AA915" t="s">
        <v>74</v>
      </c>
      <c r="AB915" t="s">
        <v>74</v>
      </c>
      <c r="AC915" t="s">
        <v>74</v>
      </c>
      <c r="AD915" t="s">
        <v>74</v>
      </c>
      <c r="AE915" t="s">
        <v>74</v>
      </c>
      <c r="AF915" t="s">
        <v>74</v>
      </c>
      <c r="AG915">
        <v>211</v>
      </c>
      <c r="AH915">
        <v>108</v>
      </c>
      <c r="AI915">
        <v>135</v>
      </c>
      <c r="AJ915">
        <v>5</v>
      </c>
      <c r="AK915">
        <v>74</v>
      </c>
      <c r="AL915" t="s">
        <v>12743</v>
      </c>
      <c r="AM915" t="s">
        <v>12744</v>
      </c>
      <c r="AN915" t="s">
        <v>12745</v>
      </c>
      <c r="AO915" t="s">
        <v>12746</v>
      </c>
      <c r="AP915" t="s">
        <v>12747</v>
      </c>
      <c r="AQ915" t="s">
        <v>74</v>
      </c>
      <c r="AR915" t="s">
        <v>12748</v>
      </c>
      <c r="AS915" t="s">
        <v>12749</v>
      </c>
      <c r="AT915" t="s">
        <v>12750</v>
      </c>
      <c r="AU915">
        <v>2003</v>
      </c>
      <c r="AV915">
        <v>23</v>
      </c>
      <c r="AW915">
        <v>2</v>
      </c>
      <c r="AX915" t="s">
        <v>74</v>
      </c>
      <c r="AY915" t="s">
        <v>74</v>
      </c>
      <c r="AZ915" t="s">
        <v>74</v>
      </c>
      <c r="BA915" t="s">
        <v>74</v>
      </c>
      <c r="BB915">
        <v>89</v>
      </c>
      <c r="BC915">
        <v>110</v>
      </c>
      <c r="BD915" t="s">
        <v>74</v>
      </c>
      <c r="BE915" t="s">
        <v>12751</v>
      </c>
      <c r="BF915" t="str">
        <f>HYPERLINK("http://dx.doi.org/10.3354/cr023089","http://dx.doi.org/10.3354/cr023089")</f>
        <v>http://dx.doi.org/10.3354/cr023089</v>
      </c>
      <c r="BG915" t="s">
        <v>74</v>
      </c>
      <c r="BH915" t="s">
        <v>74</v>
      </c>
      <c r="BI915">
        <v>22</v>
      </c>
      <c r="BJ915" t="s">
        <v>4485</v>
      </c>
      <c r="BK915" t="s">
        <v>94</v>
      </c>
      <c r="BL915" t="s">
        <v>4486</v>
      </c>
      <c r="BM915" t="s">
        <v>12752</v>
      </c>
      <c r="BN915" t="s">
        <v>74</v>
      </c>
      <c r="BO915" t="s">
        <v>96</v>
      </c>
      <c r="BP915" t="s">
        <v>74</v>
      </c>
      <c r="BQ915" t="s">
        <v>74</v>
      </c>
      <c r="BR915" t="s">
        <v>97</v>
      </c>
      <c r="BS915" t="s">
        <v>12753</v>
      </c>
      <c r="BT915" t="str">
        <f>HYPERLINK("https%3A%2F%2Fwww.webofscience.com%2Fwos%2Fwoscc%2Ffull-record%2FWOS:000182481700001","View Full Record in Web of Science")</f>
        <v>View Full Record in Web of Science</v>
      </c>
    </row>
    <row r="916" spans="1:72" x14ac:dyDescent="0.15">
      <c r="A916" t="s">
        <v>72</v>
      </c>
      <c r="B916" t="s">
        <v>12754</v>
      </c>
      <c r="C916" t="s">
        <v>74</v>
      </c>
      <c r="D916" t="s">
        <v>74</v>
      </c>
      <c r="E916" t="s">
        <v>74</v>
      </c>
      <c r="F916" t="s">
        <v>12754</v>
      </c>
      <c r="G916" t="s">
        <v>74</v>
      </c>
      <c r="H916" t="s">
        <v>74</v>
      </c>
      <c r="I916" t="s">
        <v>12755</v>
      </c>
      <c r="J916" t="s">
        <v>530</v>
      </c>
      <c r="K916" t="s">
        <v>74</v>
      </c>
      <c r="L916" t="s">
        <v>74</v>
      </c>
      <c r="M916" t="s">
        <v>77</v>
      </c>
      <c r="N916" t="s">
        <v>78</v>
      </c>
      <c r="O916" t="s">
        <v>74</v>
      </c>
      <c r="P916" t="s">
        <v>74</v>
      </c>
      <c r="Q916" t="s">
        <v>74</v>
      </c>
      <c r="R916" t="s">
        <v>74</v>
      </c>
      <c r="S916" t="s">
        <v>74</v>
      </c>
      <c r="T916" t="s">
        <v>74</v>
      </c>
      <c r="U916" t="s">
        <v>12756</v>
      </c>
      <c r="V916" t="s">
        <v>12757</v>
      </c>
      <c r="W916" t="s">
        <v>12758</v>
      </c>
      <c r="X916" t="s">
        <v>12759</v>
      </c>
      <c r="Y916" t="s">
        <v>12760</v>
      </c>
      <c r="Z916" t="s">
        <v>74</v>
      </c>
      <c r="AA916" t="s">
        <v>12761</v>
      </c>
      <c r="AB916" t="s">
        <v>74</v>
      </c>
      <c r="AC916" t="s">
        <v>74</v>
      </c>
      <c r="AD916" t="s">
        <v>74</v>
      </c>
      <c r="AE916" t="s">
        <v>74</v>
      </c>
      <c r="AF916" t="s">
        <v>74</v>
      </c>
      <c r="AG916">
        <v>26</v>
      </c>
      <c r="AH916">
        <v>80</v>
      </c>
      <c r="AI916">
        <v>89</v>
      </c>
      <c r="AJ916">
        <v>1</v>
      </c>
      <c r="AK916">
        <v>14</v>
      </c>
      <c r="AL916" t="s">
        <v>539</v>
      </c>
      <c r="AM916" t="s">
        <v>540</v>
      </c>
      <c r="AN916" t="s">
        <v>541</v>
      </c>
      <c r="AO916" t="s">
        <v>542</v>
      </c>
      <c r="AP916" t="s">
        <v>74</v>
      </c>
      <c r="AQ916" t="s">
        <v>74</v>
      </c>
      <c r="AR916" t="s">
        <v>544</v>
      </c>
      <c r="AS916" t="s">
        <v>545</v>
      </c>
      <c r="AT916" t="s">
        <v>12750</v>
      </c>
      <c r="AU916">
        <v>2003</v>
      </c>
      <c r="AV916">
        <v>30</v>
      </c>
      <c r="AW916">
        <v>2</v>
      </c>
      <c r="AX916" t="s">
        <v>74</v>
      </c>
      <c r="AY916" t="s">
        <v>74</v>
      </c>
      <c r="AZ916" t="s">
        <v>74</v>
      </c>
      <c r="BA916" t="s">
        <v>74</v>
      </c>
      <c r="BB916" t="s">
        <v>74</v>
      </c>
      <c r="BC916" t="s">
        <v>74</v>
      </c>
      <c r="BD916">
        <v>1096</v>
      </c>
      <c r="BE916" t="s">
        <v>12762</v>
      </c>
      <c r="BF916" t="str">
        <f>HYPERLINK("http://dx.doi.org/10.1029/2002GL015513","http://dx.doi.org/10.1029/2002GL015513")</f>
        <v>http://dx.doi.org/10.1029/2002GL015513</v>
      </c>
      <c r="BG916" t="s">
        <v>74</v>
      </c>
      <c r="BH916" t="s">
        <v>74</v>
      </c>
      <c r="BI916">
        <v>4</v>
      </c>
      <c r="BJ916" t="s">
        <v>548</v>
      </c>
      <c r="BK916" t="s">
        <v>94</v>
      </c>
      <c r="BL916" t="s">
        <v>549</v>
      </c>
      <c r="BM916" t="s">
        <v>12763</v>
      </c>
      <c r="BN916" t="s">
        <v>74</v>
      </c>
      <c r="BO916" t="s">
        <v>74</v>
      </c>
      <c r="BP916" t="s">
        <v>74</v>
      </c>
      <c r="BQ916" t="s">
        <v>74</v>
      </c>
      <c r="BR916" t="s">
        <v>97</v>
      </c>
      <c r="BS916" t="s">
        <v>12764</v>
      </c>
      <c r="BT916" t="str">
        <f>HYPERLINK("https%3A%2F%2Fwww.webofscience.com%2Fwos%2Fwoscc%2Ffull-record%2FWOS:000182893300002","View Full Record in Web of Science")</f>
        <v>View Full Record in Web of Science</v>
      </c>
    </row>
    <row r="917" spans="1:72" x14ac:dyDescent="0.15">
      <c r="A917" t="s">
        <v>72</v>
      </c>
      <c r="B917" t="s">
        <v>12765</v>
      </c>
      <c r="C917" t="s">
        <v>74</v>
      </c>
      <c r="D917" t="s">
        <v>74</v>
      </c>
      <c r="E917" t="s">
        <v>74</v>
      </c>
      <c r="F917" t="s">
        <v>12765</v>
      </c>
      <c r="G917" t="s">
        <v>74</v>
      </c>
      <c r="H917" t="s">
        <v>74</v>
      </c>
      <c r="I917" t="s">
        <v>12766</v>
      </c>
      <c r="J917" t="s">
        <v>530</v>
      </c>
      <c r="K917" t="s">
        <v>74</v>
      </c>
      <c r="L917" t="s">
        <v>74</v>
      </c>
      <c r="M917" t="s">
        <v>77</v>
      </c>
      <c r="N917" t="s">
        <v>78</v>
      </c>
      <c r="O917" t="s">
        <v>74</v>
      </c>
      <c r="P917" t="s">
        <v>74</v>
      </c>
      <c r="Q917" t="s">
        <v>74</v>
      </c>
      <c r="R917" t="s">
        <v>74</v>
      </c>
      <c r="S917" t="s">
        <v>74</v>
      </c>
      <c r="T917" t="s">
        <v>74</v>
      </c>
      <c r="U917" t="s">
        <v>12767</v>
      </c>
      <c r="V917" t="s">
        <v>12768</v>
      </c>
      <c r="W917" t="s">
        <v>12769</v>
      </c>
      <c r="X917" t="s">
        <v>12770</v>
      </c>
      <c r="Y917" t="s">
        <v>12771</v>
      </c>
      <c r="Z917" t="s">
        <v>74</v>
      </c>
      <c r="AA917" t="s">
        <v>12772</v>
      </c>
      <c r="AB917" t="s">
        <v>12773</v>
      </c>
      <c r="AC917" t="s">
        <v>74</v>
      </c>
      <c r="AD917" t="s">
        <v>74</v>
      </c>
      <c r="AE917" t="s">
        <v>74</v>
      </c>
      <c r="AF917" t="s">
        <v>74</v>
      </c>
      <c r="AG917">
        <v>17</v>
      </c>
      <c r="AH917">
        <v>17</v>
      </c>
      <c r="AI917">
        <v>17</v>
      </c>
      <c r="AJ917">
        <v>0</v>
      </c>
      <c r="AK917">
        <v>5</v>
      </c>
      <c r="AL917" t="s">
        <v>539</v>
      </c>
      <c r="AM917" t="s">
        <v>540</v>
      </c>
      <c r="AN917" t="s">
        <v>541</v>
      </c>
      <c r="AO917" t="s">
        <v>542</v>
      </c>
      <c r="AP917" t="s">
        <v>74</v>
      </c>
      <c r="AQ917" t="s">
        <v>74</v>
      </c>
      <c r="AR917" t="s">
        <v>544</v>
      </c>
      <c r="AS917" t="s">
        <v>545</v>
      </c>
      <c r="AT917" t="s">
        <v>12774</v>
      </c>
      <c r="AU917">
        <v>2003</v>
      </c>
      <c r="AV917">
        <v>30</v>
      </c>
      <c r="AW917">
        <v>2</v>
      </c>
      <c r="AX917" t="s">
        <v>74</v>
      </c>
      <c r="AY917" t="s">
        <v>74</v>
      </c>
      <c r="AZ917" t="s">
        <v>74</v>
      </c>
      <c r="BA917" t="s">
        <v>74</v>
      </c>
      <c r="BB917" t="s">
        <v>74</v>
      </c>
      <c r="BC917" t="s">
        <v>74</v>
      </c>
      <c r="BD917">
        <v>1090</v>
      </c>
      <c r="BE917" t="s">
        <v>12775</v>
      </c>
      <c r="BF917" t="str">
        <f>HYPERLINK("http://dx.doi.org/10.1029/2002GL016160","http://dx.doi.org/10.1029/2002GL016160")</f>
        <v>http://dx.doi.org/10.1029/2002GL016160</v>
      </c>
      <c r="BG917" t="s">
        <v>74</v>
      </c>
      <c r="BH917" t="s">
        <v>74</v>
      </c>
      <c r="BI917">
        <v>4</v>
      </c>
      <c r="BJ917" t="s">
        <v>548</v>
      </c>
      <c r="BK917" t="s">
        <v>94</v>
      </c>
      <c r="BL917" t="s">
        <v>549</v>
      </c>
      <c r="BM917" t="s">
        <v>12776</v>
      </c>
      <c r="BN917" t="s">
        <v>74</v>
      </c>
      <c r="BO917" t="s">
        <v>154</v>
      </c>
      <c r="BP917" t="s">
        <v>74</v>
      </c>
      <c r="BQ917" t="s">
        <v>74</v>
      </c>
      <c r="BR917" t="s">
        <v>97</v>
      </c>
      <c r="BS917" t="s">
        <v>12777</v>
      </c>
      <c r="BT917" t="str">
        <f>HYPERLINK("https%3A%2F%2Fwww.webofscience.com%2Fwos%2Fwoscc%2Ffull-record%2FWOS:000182893200005","View Full Record in Web of Science")</f>
        <v>View Full Record in Web of Science</v>
      </c>
    </row>
    <row r="918" spans="1:72" x14ac:dyDescent="0.15">
      <c r="A918" t="s">
        <v>72</v>
      </c>
      <c r="B918" t="s">
        <v>12778</v>
      </c>
      <c r="C918" t="s">
        <v>74</v>
      </c>
      <c r="D918" t="s">
        <v>74</v>
      </c>
      <c r="E918" t="s">
        <v>74</v>
      </c>
      <c r="F918" t="s">
        <v>12778</v>
      </c>
      <c r="G918" t="s">
        <v>74</v>
      </c>
      <c r="H918" t="s">
        <v>74</v>
      </c>
      <c r="I918" t="s">
        <v>12779</v>
      </c>
      <c r="J918" t="s">
        <v>2922</v>
      </c>
      <c r="K918" t="s">
        <v>74</v>
      </c>
      <c r="L918" t="s">
        <v>74</v>
      </c>
      <c r="M918" t="s">
        <v>77</v>
      </c>
      <c r="N918" t="s">
        <v>78</v>
      </c>
      <c r="O918" t="s">
        <v>74</v>
      </c>
      <c r="P918" t="s">
        <v>74</v>
      </c>
      <c r="Q918" t="s">
        <v>74</v>
      </c>
      <c r="R918" t="s">
        <v>74</v>
      </c>
      <c r="S918" t="s">
        <v>74</v>
      </c>
      <c r="T918" t="s">
        <v>12780</v>
      </c>
      <c r="U918" t="s">
        <v>12781</v>
      </c>
      <c r="V918" t="s">
        <v>12782</v>
      </c>
      <c r="W918" t="s">
        <v>12783</v>
      </c>
      <c r="X918" t="s">
        <v>12784</v>
      </c>
      <c r="Y918" t="s">
        <v>12785</v>
      </c>
      <c r="Z918" t="s">
        <v>12786</v>
      </c>
      <c r="AA918" t="s">
        <v>74</v>
      </c>
      <c r="AB918" t="s">
        <v>74</v>
      </c>
      <c r="AC918" t="s">
        <v>74</v>
      </c>
      <c r="AD918" t="s">
        <v>74</v>
      </c>
      <c r="AE918" t="s">
        <v>74</v>
      </c>
      <c r="AF918" t="s">
        <v>74</v>
      </c>
      <c r="AG918">
        <v>61</v>
      </c>
      <c r="AH918">
        <v>39</v>
      </c>
      <c r="AI918">
        <v>47</v>
      </c>
      <c r="AJ918">
        <v>0</v>
      </c>
      <c r="AK918">
        <v>19</v>
      </c>
      <c r="AL918" t="s">
        <v>110</v>
      </c>
      <c r="AM918" t="s">
        <v>111</v>
      </c>
      <c r="AN918" t="s">
        <v>112</v>
      </c>
      <c r="AO918" t="s">
        <v>2931</v>
      </c>
      <c r="AP918" t="s">
        <v>2932</v>
      </c>
      <c r="AQ918" t="s">
        <v>74</v>
      </c>
      <c r="AR918" t="s">
        <v>2933</v>
      </c>
      <c r="AS918" t="s">
        <v>2934</v>
      </c>
      <c r="AT918" t="s">
        <v>12787</v>
      </c>
      <c r="AU918">
        <v>2003</v>
      </c>
      <c r="AV918">
        <v>284</v>
      </c>
      <c r="AW918" t="s">
        <v>787</v>
      </c>
      <c r="AX918" t="s">
        <v>74</v>
      </c>
      <c r="AY918" t="s">
        <v>74</v>
      </c>
      <c r="AZ918" t="s">
        <v>74</v>
      </c>
      <c r="BA918" t="s">
        <v>74</v>
      </c>
      <c r="BB918">
        <v>87</v>
      </c>
      <c r="BC918">
        <v>104</v>
      </c>
      <c r="BD918" t="s">
        <v>12788</v>
      </c>
      <c r="BE918" t="s">
        <v>12789</v>
      </c>
      <c r="BF918" t="str">
        <f>HYPERLINK("http://dx.doi.org/10.1016/S0022-0981(02)00494-X","http://dx.doi.org/10.1016/S0022-0981(02)00494-X")</f>
        <v>http://dx.doi.org/10.1016/S0022-0981(02)00494-X</v>
      </c>
      <c r="BG918" t="s">
        <v>74</v>
      </c>
      <c r="BH918" t="s">
        <v>74</v>
      </c>
      <c r="BI918">
        <v>18</v>
      </c>
      <c r="BJ918" t="s">
        <v>485</v>
      </c>
      <c r="BK918" t="s">
        <v>94</v>
      </c>
      <c r="BL918" t="s">
        <v>486</v>
      </c>
      <c r="BM918" t="s">
        <v>12790</v>
      </c>
      <c r="BN918" t="s">
        <v>74</v>
      </c>
      <c r="BO918" t="s">
        <v>74</v>
      </c>
      <c r="BP918" t="s">
        <v>74</v>
      </c>
      <c r="BQ918" t="s">
        <v>74</v>
      </c>
      <c r="BR918" t="s">
        <v>97</v>
      </c>
      <c r="BS918" t="s">
        <v>12791</v>
      </c>
      <c r="BT918" t="str">
        <f>HYPERLINK("https%3A%2F%2Fwww.webofscience.com%2Fwos%2Fwoscc%2Ffull-record%2FWOS:000180554000006","View Full Record in Web of Science")</f>
        <v>View Full Record in Web of Science</v>
      </c>
    </row>
    <row r="919" spans="1:72" x14ac:dyDescent="0.15">
      <c r="A919" t="s">
        <v>72</v>
      </c>
      <c r="B919" t="s">
        <v>12792</v>
      </c>
      <c r="C919" t="s">
        <v>74</v>
      </c>
      <c r="D919" t="s">
        <v>74</v>
      </c>
      <c r="E919" t="s">
        <v>74</v>
      </c>
      <c r="F919" t="s">
        <v>12792</v>
      </c>
      <c r="G919" t="s">
        <v>74</v>
      </c>
      <c r="H919" t="s">
        <v>74</v>
      </c>
      <c r="I919" t="s">
        <v>12793</v>
      </c>
      <c r="J919" t="s">
        <v>4208</v>
      </c>
      <c r="K919" t="s">
        <v>74</v>
      </c>
      <c r="L919" t="s">
        <v>74</v>
      </c>
      <c r="M919" t="s">
        <v>77</v>
      </c>
      <c r="N919" t="s">
        <v>78</v>
      </c>
      <c r="O919" t="s">
        <v>74</v>
      </c>
      <c r="P919" t="s">
        <v>74</v>
      </c>
      <c r="Q919" t="s">
        <v>74</v>
      </c>
      <c r="R919" t="s">
        <v>74</v>
      </c>
      <c r="S919" t="s">
        <v>74</v>
      </c>
      <c r="T919" t="s">
        <v>12794</v>
      </c>
      <c r="U919" t="s">
        <v>12795</v>
      </c>
      <c r="V919" t="s">
        <v>12796</v>
      </c>
      <c r="W919" t="s">
        <v>12797</v>
      </c>
      <c r="X919" t="s">
        <v>12798</v>
      </c>
      <c r="Y919" t="s">
        <v>12799</v>
      </c>
      <c r="Z919" t="s">
        <v>12800</v>
      </c>
      <c r="AA919" t="s">
        <v>74</v>
      </c>
      <c r="AB919" t="s">
        <v>12801</v>
      </c>
      <c r="AC919" t="s">
        <v>74</v>
      </c>
      <c r="AD919" t="s">
        <v>74</v>
      </c>
      <c r="AE919" t="s">
        <v>74</v>
      </c>
      <c r="AF919" t="s">
        <v>74</v>
      </c>
      <c r="AG919">
        <v>21</v>
      </c>
      <c r="AH919">
        <v>5</v>
      </c>
      <c r="AI919">
        <v>5</v>
      </c>
      <c r="AJ919">
        <v>0</v>
      </c>
      <c r="AK919">
        <v>1</v>
      </c>
      <c r="AL919" t="s">
        <v>539</v>
      </c>
      <c r="AM919" t="s">
        <v>540</v>
      </c>
      <c r="AN919" t="s">
        <v>541</v>
      </c>
      <c r="AO919" t="s">
        <v>4218</v>
      </c>
      <c r="AP919" t="s">
        <v>4219</v>
      </c>
      <c r="AQ919" t="s">
        <v>74</v>
      </c>
      <c r="AR919" t="s">
        <v>4220</v>
      </c>
      <c r="AS919" t="s">
        <v>4221</v>
      </c>
      <c r="AT919" t="s">
        <v>12802</v>
      </c>
      <c r="AU919">
        <v>2003</v>
      </c>
      <c r="AV919">
        <v>108</v>
      </c>
      <c r="AW919" t="s">
        <v>12803</v>
      </c>
      <c r="AX919" t="s">
        <v>74</v>
      </c>
      <c r="AY919" t="s">
        <v>74</v>
      </c>
      <c r="AZ919" t="s">
        <v>74</v>
      </c>
      <c r="BA919" t="s">
        <v>74</v>
      </c>
      <c r="BB919" t="s">
        <v>74</v>
      </c>
      <c r="BC919" t="s">
        <v>74</v>
      </c>
      <c r="BD919">
        <v>1041</v>
      </c>
      <c r="BE919" t="s">
        <v>12804</v>
      </c>
      <c r="BF919" t="str">
        <f>HYPERLINK("http://dx.doi.org/10.1029/2001JA009213","http://dx.doi.org/10.1029/2001JA009213")</f>
        <v>http://dx.doi.org/10.1029/2001JA009213</v>
      </c>
      <c r="BG919" t="s">
        <v>74</v>
      </c>
      <c r="BH919" t="s">
        <v>74</v>
      </c>
      <c r="BI919">
        <v>7</v>
      </c>
      <c r="BJ919" t="s">
        <v>1333</v>
      </c>
      <c r="BK919" t="s">
        <v>94</v>
      </c>
      <c r="BL919" t="s">
        <v>1333</v>
      </c>
      <c r="BM919" t="s">
        <v>12805</v>
      </c>
      <c r="BN919" t="s">
        <v>74</v>
      </c>
      <c r="BO919" t="s">
        <v>154</v>
      </c>
      <c r="BP919" t="s">
        <v>74</v>
      </c>
      <c r="BQ919" t="s">
        <v>74</v>
      </c>
      <c r="BR919" t="s">
        <v>97</v>
      </c>
      <c r="BS919" t="s">
        <v>12806</v>
      </c>
      <c r="BT919" t="str">
        <f>HYPERLINK("https%3A%2F%2Fwww.webofscience.com%2Fwos%2Fwoscc%2Ffull-record%2FWOS:000182907900002","View Full Record in Web of Science")</f>
        <v>View Full Record in Web of Science</v>
      </c>
    </row>
    <row r="920" spans="1:72" x14ac:dyDescent="0.15">
      <c r="A920" t="s">
        <v>72</v>
      </c>
      <c r="B920" t="s">
        <v>12807</v>
      </c>
      <c r="C920" t="s">
        <v>74</v>
      </c>
      <c r="D920" t="s">
        <v>74</v>
      </c>
      <c r="E920" t="s">
        <v>74</v>
      </c>
      <c r="F920" t="s">
        <v>12807</v>
      </c>
      <c r="G920" t="s">
        <v>74</v>
      </c>
      <c r="H920" t="s">
        <v>74</v>
      </c>
      <c r="I920" t="s">
        <v>12808</v>
      </c>
      <c r="J920" t="s">
        <v>645</v>
      </c>
      <c r="K920" t="s">
        <v>74</v>
      </c>
      <c r="L920" t="s">
        <v>74</v>
      </c>
      <c r="M920" t="s">
        <v>77</v>
      </c>
      <c r="N920" t="s">
        <v>78</v>
      </c>
      <c r="O920" t="s">
        <v>74</v>
      </c>
      <c r="P920" t="s">
        <v>74</v>
      </c>
      <c r="Q920" t="s">
        <v>74</v>
      </c>
      <c r="R920" t="s">
        <v>74</v>
      </c>
      <c r="S920" t="s">
        <v>74</v>
      </c>
      <c r="T920" t="s">
        <v>12809</v>
      </c>
      <c r="U920" t="s">
        <v>12810</v>
      </c>
      <c r="V920" t="s">
        <v>12811</v>
      </c>
      <c r="W920" t="s">
        <v>12812</v>
      </c>
      <c r="X920" t="s">
        <v>12813</v>
      </c>
      <c r="Y920" t="s">
        <v>12814</v>
      </c>
      <c r="Z920" t="s">
        <v>12815</v>
      </c>
      <c r="AA920" t="s">
        <v>12816</v>
      </c>
      <c r="AB920" t="s">
        <v>12817</v>
      </c>
      <c r="AC920" t="s">
        <v>74</v>
      </c>
      <c r="AD920" t="s">
        <v>74</v>
      </c>
      <c r="AE920" t="s">
        <v>74</v>
      </c>
      <c r="AF920" t="s">
        <v>74</v>
      </c>
      <c r="AG920">
        <v>24</v>
      </c>
      <c r="AH920">
        <v>28</v>
      </c>
      <c r="AI920">
        <v>28</v>
      </c>
      <c r="AJ920">
        <v>1</v>
      </c>
      <c r="AK920">
        <v>11</v>
      </c>
      <c r="AL920" t="s">
        <v>539</v>
      </c>
      <c r="AM920" t="s">
        <v>540</v>
      </c>
      <c r="AN920" t="s">
        <v>541</v>
      </c>
      <c r="AO920" t="s">
        <v>653</v>
      </c>
      <c r="AP920" t="s">
        <v>654</v>
      </c>
      <c r="AQ920" t="s">
        <v>74</v>
      </c>
      <c r="AR920" t="s">
        <v>655</v>
      </c>
      <c r="AS920" t="s">
        <v>656</v>
      </c>
      <c r="AT920" t="s">
        <v>12818</v>
      </c>
      <c r="AU920">
        <v>2003</v>
      </c>
      <c r="AV920">
        <v>17</v>
      </c>
      <c r="AW920">
        <v>1</v>
      </c>
      <c r="AX920" t="s">
        <v>74</v>
      </c>
      <c r="AY920" t="s">
        <v>74</v>
      </c>
      <c r="AZ920" t="s">
        <v>74</v>
      </c>
      <c r="BA920" t="s">
        <v>74</v>
      </c>
      <c r="BB920" t="s">
        <v>74</v>
      </c>
      <c r="BC920" t="s">
        <v>74</v>
      </c>
      <c r="BD920">
        <v>1013</v>
      </c>
      <c r="BE920" t="s">
        <v>12819</v>
      </c>
      <c r="BF920" t="str">
        <f>HYPERLINK("http://dx.doi.org/10.1029/2001GB001415","http://dx.doi.org/10.1029/2001GB001415")</f>
        <v>http://dx.doi.org/10.1029/2001GB001415</v>
      </c>
      <c r="BG920" t="s">
        <v>74</v>
      </c>
      <c r="BH920" t="s">
        <v>74</v>
      </c>
      <c r="BI920">
        <v>13</v>
      </c>
      <c r="BJ920" t="s">
        <v>659</v>
      </c>
      <c r="BK920" t="s">
        <v>94</v>
      </c>
      <c r="BL920" t="s">
        <v>660</v>
      </c>
      <c r="BM920" t="s">
        <v>12820</v>
      </c>
      <c r="BN920" t="s">
        <v>74</v>
      </c>
      <c r="BO920" t="s">
        <v>74</v>
      </c>
      <c r="BP920" t="s">
        <v>74</v>
      </c>
      <c r="BQ920" t="s">
        <v>74</v>
      </c>
      <c r="BR920" t="s">
        <v>97</v>
      </c>
      <c r="BS920" t="s">
        <v>12821</v>
      </c>
      <c r="BT920" t="str">
        <f>HYPERLINK("https%3A%2F%2Fwww.webofscience.com%2Fwos%2Fwoscc%2Ffull-record%2FWOS:000181823000001","View Full Record in Web of Science")</f>
        <v>View Full Record in Web of Science</v>
      </c>
    </row>
    <row r="921" spans="1:72" x14ac:dyDescent="0.15">
      <c r="A921" t="s">
        <v>72</v>
      </c>
      <c r="B921" t="s">
        <v>12822</v>
      </c>
      <c r="C921" t="s">
        <v>74</v>
      </c>
      <c r="D921" t="s">
        <v>74</v>
      </c>
      <c r="E921" t="s">
        <v>74</v>
      </c>
      <c r="F921" t="s">
        <v>12822</v>
      </c>
      <c r="G921" t="s">
        <v>74</v>
      </c>
      <c r="H921" t="s">
        <v>74</v>
      </c>
      <c r="I921" t="s">
        <v>12823</v>
      </c>
      <c r="J921" t="s">
        <v>665</v>
      </c>
      <c r="K921" t="s">
        <v>74</v>
      </c>
      <c r="L921" t="s">
        <v>74</v>
      </c>
      <c r="M921" t="s">
        <v>77</v>
      </c>
      <c r="N921" t="s">
        <v>159</v>
      </c>
      <c r="O921" t="s">
        <v>12824</v>
      </c>
      <c r="P921" t="s">
        <v>12825</v>
      </c>
      <c r="Q921" t="s">
        <v>12826</v>
      </c>
      <c r="R921" t="s">
        <v>74</v>
      </c>
      <c r="S921" t="s">
        <v>74</v>
      </c>
      <c r="T921" t="s">
        <v>12827</v>
      </c>
      <c r="U921" t="s">
        <v>12828</v>
      </c>
      <c r="V921" t="s">
        <v>12829</v>
      </c>
      <c r="W921" t="s">
        <v>12830</v>
      </c>
      <c r="X921" t="s">
        <v>635</v>
      </c>
      <c r="Y921" t="s">
        <v>12831</v>
      </c>
      <c r="Z921" t="s">
        <v>12832</v>
      </c>
      <c r="AA921" t="s">
        <v>74</v>
      </c>
      <c r="AB921" t="s">
        <v>74</v>
      </c>
      <c r="AC921" t="s">
        <v>74</v>
      </c>
      <c r="AD921" t="s">
        <v>74</v>
      </c>
      <c r="AE921" t="s">
        <v>74</v>
      </c>
      <c r="AF921" t="s">
        <v>74</v>
      </c>
      <c r="AG921">
        <v>184</v>
      </c>
      <c r="AH921">
        <v>89</v>
      </c>
      <c r="AI921">
        <v>105</v>
      </c>
      <c r="AJ921">
        <v>1</v>
      </c>
      <c r="AK921">
        <v>24</v>
      </c>
      <c r="AL921" t="s">
        <v>539</v>
      </c>
      <c r="AM921" t="s">
        <v>540</v>
      </c>
      <c r="AN921" t="s">
        <v>541</v>
      </c>
      <c r="AO921" t="s">
        <v>672</v>
      </c>
      <c r="AP921" t="s">
        <v>673</v>
      </c>
      <c r="AQ921" t="s">
        <v>74</v>
      </c>
      <c r="AR921" t="s">
        <v>674</v>
      </c>
      <c r="AS921" t="s">
        <v>675</v>
      </c>
      <c r="AT921" t="s">
        <v>12833</v>
      </c>
      <c r="AU921">
        <v>2003</v>
      </c>
      <c r="AV921">
        <v>108</v>
      </c>
      <c r="AW921" t="s">
        <v>8763</v>
      </c>
      <c r="AX921" t="s">
        <v>74</v>
      </c>
      <c r="AY921" t="s">
        <v>74</v>
      </c>
      <c r="AZ921" t="s">
        <v>74</v>
      </c>
      <c r="BA921" t="s">
        <v>74</v>
      </c>
      <c r="BB921" t="s">
        <v>74</v>
      </c>
      <c r="BC921" t="s">
        <v>74</v>
      </c>
      <c r="BD921">
        <v>8080</v>
      </c>
      <c r="BE921" t="s">
        <v>12834</v>
      </c>
      <c r="BF921" t="str">
        <f>HYPERLINK("http://dx.doi.org/10.1029/2000JC000379","http://dx.doi.org/10.1029/2000JC000379")</f>
        <v>http://dx.doi.org/10.1029/2000JC000379</v>
      </c>
      <c r="BG921" t="s">
        <v>74</v>
      </c>
      <c r="BH921" t="s">
        <v>74</v>
      </c>
      <c r="BI921">
        <v>15</v>
      </c>
      <c r="BJ921" t="s">
        <v>678</v>
      </c>
      <c r="BK921" t="s">
        <v>177</v>
      </c>
      <c r="BL921" t="s">
        <v>678</v>
      </c>
      <c r="BM921" t="s">
        <v>12835</v>
      </c>
      <c r="BN921" t="s">
        <v>74</v>
      </c>
      <c r="BO921" t="s">
        <v>96</v>
      </c>
      <c r="BP921" t="s">
        <v>74</v>
      </c>
      <c r="BQ921" t="s">
        <v>74</v>
      </c>
      <c r="BR921" t="s">
        <v>97</v>
      </c>
      <c r="BS921" t="s">
        <v>12836</v>
      </c>
      <c r="BT921" t="str">
        <f>HYPERLINK("https%3A%2F%2Fwww.webofscience.com%2Fwos%2Fwoscc%2Ffull-record%2FWOS:000181829500001","View Full Record in Web of Science")</f>
        <v>View Full Record in Web of Science</v>
      </c>
    </row>
    <row r="922" spans="1:72" x14ac:dyDescent="0.15">
      <c r="A922" t="s">
        <v>72</v>
      </c>
      <c r="B922" t="s">
        <v>12837</v>
      </c>
      <c r="C922" t="s">
        <v>74</v>
      </c>
      <c r="D922" t="s">
        <v>74</v>
      </c>
      <c r="E922" t="s">
        <v>74</v>
      </c>
      <c r="F922" t="s">
        <v>12837</v>
      </c>
      <c r="G922" t="s">
        <v>74</v>
      </c>
      <c r="H922" t="s">
        <v>74</v>
      </c>
      <c r="I922" t="s">
        <v>12838</v>
      </c>
      <c r="J922" t="s">
        <v>645</v>
      </c>
      <c r="K922" t="s">
        <v>74</v>
      </c>
      <c r="L922" t="s">
        <v>74</v>
      </c>
      <c r="M922" t="s">
        <v>77</v>
      </c>
      <c r="N922" t="s">
        <v>78</v>
      </c>
      <c r="O922" t="s">
        <v>74</v>
      </c>
      <c r="P922" t="s">
        <v>74</v>
      </c>
      <c r="Q922" t="s">
        <v>74</v>
      </c>
      <c r="R922" t="s">
        <v>74</v>
      </c>
      <c r="S922" t="s">
        <v>74</v>
      </c>
      <c r="T922" t="s">
        <v>12839</v>
      </c>
      <c r="U922" t="s">
        <v>12840</v>
      </c>
      <c r="V922" t="s">
        <v>12841</v>
      </c>
      <c r="W922" t="s">
        <v>12842</v>
      </c>
      <c r="X922" t="s">
        <v>3733</v>
      </c>
      <c r="Y922" t="s">
        <v>12843</v>
      </c>
      <c r="Z922" t="s">
        <v>12844</v>
      </c>
      <c r="AA922" t="s">
        <v>12845</v>
      </c>
      <c r="AB922" t="s">
        <v>12846</v>
      </c>
      <c r="AC922" t="s">
        <v>74</v>
      </c>
      <c r="AD922" t="s">
        <v>74</v>
      </c>
      <c r="AE922" t="s">
        <v>74</v>
      </c>
      <c r="AF922" t="s">
        <v>74</v>
      </c>
      <c r="AG922">
        <v>47</v>
      </c>
      <c r="AH922">
        <v>14</v>
      </c>
      <c r="AI922">
        <v>15</v>
      </c>
      <c r="AJ922">
        <v>0</v>
      </c>
      <c r="AK922">
        <v>6</v>
      </c>
      <c r="AL922" t="s">
        <v>539</v>
      </c>
      <c r="AM922" t="s">
        <v>540</v>
      </c>
      <c r="AN922" t="s">
        <v>541</v>
      </c>
      <c r="AO922" t="s">
        <v>653</v>
      </c>
      <c r="AP922" t="s">
        <v>654</v>
      </c>
      <c r="AQ922" t="s">
        <v>74</v>
      </c>
      <c r="AR922" t="s">
        <v>655</v>
      </c>
      <c r="AS922" t="s">
        <v>656</v>
      </c>
      <c r="AT922" t="s">
        <v>12847</v>
      </c>
      <c r="AU922">
        <v>2003</v>
      </c>
      <c r="AV922">
        <v>17</v>
      </c>
      <c r="AW922">
        <v>1</v>
      </c>
      <c r="AX922" t="s">
        <v>74</v>
      </c>
      <c r="AY922" t="s">
        <v>74</v>
      </c>
      <c r="AZ922" t="s">
        <v>74</v>
      </c>
      <c r="BA922" t="s">
        <v>74</v>
      </c>
      <c r="BB922" t="s">
        <v>74</v>
      </c>
      <c r="BC922" t="s">
        <v>74</v>
      </c>
      <c r="BD922">
        <v>1009</v>
      </c>
      <c r="BE922" t="s">
        <v>12848</v>
      </c>
      <c r="BF922" t="str">
        <f>HYPERLINK("http://dx.doi.org/10.1029/2002GB001938","http://dx.doi.org/10.1029/2002GB001938")</f>
        <v>http://dx.doi.org/10.1029/2002GB001938</v>
      </c>
      <c r="BG922" t="s">
        <v>74</v>
      </c>
      <c r="BH922" t="s">
        <v>74</v>
      </c>
      <c r="BI922">
        <v>12</v>
      </c>
      <c r="BJ922" t="s">
        <v>659</v>
      </c>
      <c r="BK922" t="s">
        <v>94</v>
      </c>
      <c r="BL922" t="s">
        <v>660</v>
      </c>
      <c r="BM922" t="s">
        <v>12849</v>
      </c>
      <c r="BN922" t="s">
        <v>74</v>
      </c>
      <c r="BO922" t="s">
        <v>96</v>
      </c>
      <c r="BP922" t="s">
        <v>74</v>
      </c>
      <c r="BQ922" t="s">
        <v>74</v>
      </c>
      <c r="BR922" t="s">
        <v>97</v>
      </c>
      <c r="BS922" t="s">
        <v>12850</v>
      </c>
      <c r="BT922" t="str">
        <f>HYPERLINK("https%3A%2F%2Fwww.webofscience.com%2Fwos%2Fwoscc%2Ffull-record%2FWOS:000181822800002","View Full Record in Web of Science")</f>
        <v>View Full Record in Web of Science</v>
      </c>
    </row>
    <row r="923" spans="1:72" x14ac:dyDescent="0.15">
      <c r="A923" t="s">
        <v>72</v>
      </c>
      <c r="B923" t="s">
        <v>12851</v>
      </c>
      <c r="C923" t="s">
        <v>74</v>
      </c>
      <c r="D923" t="s">
        <v>74</v>
      </c>
      <c r="E923" t="s">
        <v>74</v>
      </c>
      <c r="F923" t="s">
        <v>12851</v>
      </c>
      <c r="G923" t="s">
        <v>74</v>
      </c>
      <c r="H923" t="s">
        <v>74</v>
      </c>
      <c r="I923" t="s">
        <v>12852</v>
      </c>
      <c r="J923" t="s">
        <v>613</v>
      </c>
      <c r="K923" t="s">
        <v>74</v>
      </c>
      <c r="L923" t="s">
        <v>74</v>
      </c>
      <c r="M923" t="s">
        <v>77</v>
      </c>
      <c r="N923" t="s">
        <v>78</v>
      </c>
      <c r="O923" t="s">
        <v>74</v>
      </c>
      <c r="P923" t="s">
        <v>74</v>
      </c>
      <c r="Q923" t="s">
        <v>74</v>
      </c>
      <c r="R923" t="s">
        <v>74</v>
      </c>
      <c r="S923" t="s">
        <v>74</v>
      </c>
      <c r="T923" t="s">
        <v>12853</v>
      </c>
      <c r="U923" t="s">
        <v>12854</v>
      </c>
      <c r="V923" t="s">
        <v>12855</v>
      </c>
      <c r="W923" t="s">
        <v>12856</v>
      </c>
      <c r="X923" t="s">
        <v>12857</v>
      </c>
      <c r="Y923" t="s">
        <v>12858</v>
      </c>
      <c r="Z923" t="s">
        <v>12859</v>
      </c>
      <c r="AA923" t="s">
        <v>74</v>
      </c>
      <c r="AB923" t="s">
        <v>12860</v>
      </c>
      <c r="AC923" t="s">
        <v>74</v>
      </c>
      <c r="AD923" t="s">
        <v>74</v>
      </c>
      <c r="AE923" t="s">
        <v>74</v>
      </c>
      <c r="AF923" t="s">
        <v>74</v>
      </c>
      <c r="AG923">
        <v>74</v>
      </c>
      <c r="AH923">
        <v>32</v>
      </c>
      <c r="AI923">
        <v>33</v>
      </c>
      <c r="AJ923">
        <v>0</v>
      </c>
      <c r="AK923">
        <v>6</v>
      </c>
      <c r="AL923" t="s">
        <v>539</v>
      </c>
      <c r="AM923" t="s">
        <v>540</v>
      </c>
      <c r="AN923" t="s">
        <v>541</v>
      </c>
      <c r="AO923" t="s">
        <v>621</v>
      </c>
      <c r="AP923" t="s">
        <v>622</v>
      </c>
      <c r="AQ923" t="s">
        <v>74</v>
      </c>
      <c r="AR923" t="s">
        <v>613</v>
      </c>
      <c r="AS923" t="s">
        <v>623</v>
      </c>
      <c r="AT923" t="s">
        <v>12847</v>
      </c>
      <c r="AU923">
        <v>2003</v>
      </c>
      <c r="AV923">
        <v>18</v>
      </c>
      <c r="AW923">
        <v>1</v>
      </c>
      <c r="AX923" t="s">
        <v>74</v>
      </c>
      <c r="AY923" t="s">
        <v>74</v>
      </c>
      <c r="AZ923" t="s">
        <v>74</v>
      </c>
      <c r="BA923" t="s">
        <v>74</v>
      </c>
      <c r="BB923" t="s">
        <v>74</v>
      </c>
      <c r="BC923" t="s">
        <v>74</v>
      </c>
      <c r="BD923">
        <v>1003</v>
      </c>
      <c r="BE923" t="s">
        <v>12861</v>
      </c>
      <c r="BF923" t="str">
        <f>HYPERLINK("http://dx.doi.org/10.1029/2001PA000752","http://dx.doi.org/10.1029/2001PA000752")</f>
        <v>http://dx.doi.org/10.1029/2001PA000752</v>
      </c>
      <c r="BG923" t="s">
        <v>74</v>
      </c>
      <c r="BH923" t="s">
        <v>74</v>
      </c>
      <c r="BI923">
        <v>17</v>
      </c>
      <c r="BJ923" t="s">
        <v>625</v>
      </c>
      <c r="BK923" t="s">
        <v>94</v>
      </c>
      <c r="BL923" t="s">
        <v>626</v>
      </c>
      <c r="BM923" t="s">
        <v>12862</v>
      </c>
      <c r="BN923" t="s">
        <v>74</v>
      </c>
      <c r="BO923" t="s">
        <v>96</v>
      </c>
      <c r="BP923" t="s">
        <v>74</v>
      </c>
      <c r="BQ923" t="s">
        <v>74</v>
      </c>
      <c r="BR923" t="s">
        <v>97</v>
      </c>
      <c r="BS923" t="s">
        <v>12863</v>
      </c>
      <c r="BT923" t="str">
        <f>HYPERLINK("https%3A%2F%2Fwww.webofscience.com%2Fwos%2Fwoscc%2Ffull-record%2FWOS:000181832500001","View Full Record in Web of Science")</f>
        <v>View Full Record in Web of Science</v>
      </c>
    </row>
    <row r="924" spans="1:72" x14ac:dyDescent="0.15">
      <c r="A924" t="s">
        <v>72</v>
      </c>
      <c r="B924" t="s">
        <v>12864</v>
      </c>
      <c r="C924" t="s">
        <v>74</v>
      </c>
      <c r="D924" t="s">
        <v>74</v>
      </c>
      <c r="E924" t="s">
        <v>74</v>
      </c>
      <c r="F924" t="s">
        <v>12864</v>
      </c>
      <c r="G924" t="s">
        <v>74</v>
      </c>
      <c r="H924" t="s">
        <v>74</v>
      </c>
      <c r="I924" t="s">
        <v>12865</v>
      </c>
      <c r="J924" t="s">
        <v>12866</v>
      </c>
      <c r="K924" t="s">
        <v>74</v>
      </c>
      <c r="L924" t="s">
        <v>74</v>
      </c>
      <c r="M924" t="s">
        <v>77</v>
      </c>
      <c r="N924" t="s">
        <v>78</v>
      </c>
      <c r="O924" t="s">
        <v>74</v>
      </c>
      <c r="P924" t="s">
        <v>74</v>
      </c>
      <c r="Q924" t="s">
        <v>74</v>
      </c>
      <c r="R924" t="s">
        <v>74</v>
      </c>
      <c r="S924" t="s">
        <v>74</v>
      </c>
      <c r="T924" t="s">
        <v>74</v>
      </c>
      <c r="U924" t="s">
        <v>74</v>
      </c>
      <c r="V924" t="s">
        <v>12867</v>
      </c>
      <c r="W924" t="s">
        <v>12868</v>
      </c>
      <c r="X924" t="s">
        <v>12869</v>
      </c>
      <c r="Y924" t="s">
        <v>74</v>
      </c>
      <c r="Z924" t="s">
        <v>12870</v>
      </c>
      <c r="AA924" t="s">
        <v>74</v>
      </c>
      <c r="AB924" t="s">
        <v>74</v>
      </c>
      <c r="AC924" t="s">
        <v>74</v>
      </c>
      <c r="AD924" t="s">
        <v>74</v>
      </c>
      <c r="AE924" t="s">
        <v>74</v>
      </c>
      <c r="AF924" t="s">
        <v>74</v>
      </c>
      <c r="AG924">
        <v>9</v>
      </c>
      <c r="AH924">
        <v>2</v>
      </c>
      <c r="AI924">
        <v>2</v>
      </c>
      <c r="AJ924">
        <v>0</v>
      </c>
      <c r="AK924">
        <v>1</v>
      </c>
      <c r="AL924" t="s">
        <v>12871</v>
      </c>
      <c r="AM924" t="s">
        <v>540</v>
      </c>
      <c r="AN924" t="s">
        <v>12872</v>
      </c>
      <c r="AO924" t="s">
        <v>12873</v>
      </c>
      <c r="AP924" t="s">
        <v>12874</v>
      </c>
      <c r="AQ924" t="s">
        <v>74</v>
      </c>
      <c r="AR924" t="s">
        <v>12875</v>
      </c>
      <c r="AS924" t="s">
        <v>12876</v>
      </c>
      <c r="AT924" t="s">
        <v>12877</v>
      </c>
      <c r="AU924">
        <v>2003</v>
      </c>
      <c r="AV924">
        <v>42</v>
      </c>
      <c r="AW924">
        <v>3</v>
      </c>
      <c r="AX924" t="s">
        <v>74</v>
      </c>
      <c r="AY924" t="s">
        <v>74</v>
      </c>
      <c r="AZ924" t="s">
        <v>74</v>
      </c>
      <c r="BA924" t="s">
        <v>74</v>
      </c>
      <c r="BB924">
        <v>309</v>
      </c>
      <c r="BC924">
        <v>317</v>
      </c>
      <c r="BD924" t="s">
        <v>74</v>
      </c>
      <c r="BE924" t="s">
        <v>12878</v>
      </c>
      <c r="BF924" t="str">
        <f>HYPERLINK("http://dx.doi.org/10.1364/AO.42.000309","http://dx.doi.org/10.1364/AO.42.000309")</f>
        <v>http://dx.doi.org/10.1364/AO.42.000309</v>
      </c>
      <c r="BG924" t="s">
        <v>74</v>
      </c>
      <c r="BH924" t="s">
        <v>74</v>
      </c>
      <c r="BI924">
        <v>9</v>
      </c>
      <c r="BJ924" t="s">
        <v>12879</v>
      </c>
      <c r="BK924" t="s">
        <v>94</v>
      </c>
      <c r="BL924" t="s">
        <v>12879</v>
      </c>
      <c r="BM924" t="s">
        <v>12880</v>
      </c>
      <c r="BN924">
        <v>12570251</v>
      </c>
      <c r="BO924" t="s">
        <v>74</v>
      </c>
      <c r="BP924" t="s">
        <v>74</v>
      </c>
      <c r="BQ924" t="s">
        <v>74</v>
      </c>
      <c r="BR924" t="s">
        <v>97</v>
      </c>
      <c r="BS924" t="s">
        <v>12881</v>
      </c>
      <c r="BT924" t="str">
        <f>HYPERLINK("https%3A%2F%2Fwww.webofscience.com%2Fwos%2Fwoscc%2Ffull-record%2FWOS:000180483300002","View Full Record in Web of Science")</f>
        <v>View Full Record in Web of Science</v>
      </c>
    </row>
    <row r="925" spans="1:72" x14ac:dyDescent="0.15">
      <c r="A925" t="s">
        <v>72</v>
      </c>
      <c r="B925" t="s">
        <v>12882</v>
      </c>
      <c r="C925" t="s">
        <v>74</v>
      </c>
      <c r="D925" t="s">
        <v>74</v>
      </c>
      <c r="E925" t="s">
        <v>74</v>
      </c>
      <c r="F925" t="s">
        <v>12882</v>
      </c>
      <c r="G925" t="s">
        <v>74</v>
      </c>
      <c r="H925" t="s">
        <v>74</v>
      </c>
      <c r="I925" t="s">
        <v>12883</v>
      </c>
      <c r="J925" t="s">
        <v>530</v>
      </c>
      <c r="K925" t="s">
        <v>74</v>
      </c>
      <c r="L925" t="s">
        <v>74</v>
      </c>
      <c r="M925" t="s">
        <v>77</v>
      </c>
      <c r="N925" t="s">
        <v>78</v>
      </c>
      <c r="O925" t="s">
        <v>74</v>
      </c>
      <c r="P925" t="s">
        <v>74</v>
      </c>
      <c r="Q925" t="s">
        <v>74</v>
      </c>
      <c r="R925" t="s">
        <v>74</v>
      </c>
      <c r="S925" t="s">
        <v>74</v>
      </c>
      <c r="T925" t="s">
        <v>74</v>
      </c>
      <c r="U925" t="s">
        <v>12884</v>
      </c>
      <c r="V925" t="s">
        <v>12885</v>
      </c>
      <c r="W925" t="s">
        <v>12886</v>
      </c>
      <c r="X925" t="s">
        <v>12887</v>
      </c>
      <c r="Y925" t="s">
        <v>12888</v>
      </c>
      <c r="Z925" t="s">
        <v>12889</v>
      </c>
      <c r="AA925" t="s">
        <v>74</v>
      </c>
      <c r="AB925" t="s">
        <v>74</v>
      </c>
      <c r="AC925" t="s">
        <v>74</v>
      </c>
      <c r="AD925" t="s">
        <v>74</v>
      </c>
      <c r="AE925" t="s">
        <v>74</v>
      </c>
      <c r="AF925" t="s">
        <v>74</v>
      </c>
      <c r="AG925">
        <v>8</v>
      </c>
      <c r="AH925">
        <v>60</v>
      </c>
      <c r="AI925">
        <v>63</v>
      </c>
      <c r="AJ925">
        <v>0</v>
      </c>
      <c r="AK925">
        <v>12</v>
      </c>
      <c r="AL925" t="s">
        <v>539</v>
      </c>
      <c r="AM925" t="s">
        <v>540</v>
      </c>
      <c r="AN925" t="s">
        <v>541</v>
      </c>
      <c r="AO925" t="s">
        <v>542</v>
      </c>
      <c r="AP925" t="s">
        <v>543</v>
      </c>
      <c r="AQ925" t="s">
        <v>74</v>
      </c>
      <c r="AR925" t="s">
        <v>544</v>
      </c>
      <c r="AS925" t="s">
        <v>545</v>
      </c>
      <c r="AT925" t="s">
        <v>12890</v>
      </c>
      <c r="AU925">
        <v>2003</v>
      </c>
      <c r="AV925">
        <v>30</v>
      </c>
      <c r="AW925">
        <v>2</v>
      </c>
      <c r="AX925" t="s">
        <v>74</v>
      </c>
      <c r="AY925" t="s">
        <v>74</v>
      </c>
      <c r="AZ925" t="s">
        <v>74</v>
      </c>
      <c r="BA925" t="s">
        <v>74</v>
      </c>
      <c r="BB925" t="s">
        <v>74</v>
      </c>
      <c r="BC925" t="s">
        <v>74</v>
      </c>
      <c r="BD925">
        <v>1040</v>
      </c>
      <c r="BE925" t="s">
        <v>12891</v>
      </c>
      <c r="BF925" t="str">
        <f>HYPERLINK("http://dx.doi.org/10.1029/2002GL015580","http://dx.doi.org/10.1029/2002GL015580")</f>
        <v>http://dx.doi.org/10.1029/2002GL015580</v>
      </c>
      <c r="BG925" t="s">
        <v>74</v>
      </c>
      <c r="BH925" t="s">
        <v>74</v>
      </c>
      <c r="BI925">
        <v>4</v>
      </c>
      <c r="BJ925" t="s">
        <v>548</v>
      </c>
      <c r="BK925" t="s">
        <v>94</v>
      </c>
      <c r="BL925" t="s">
        <v>549</v>
      </c>
      <c r="BM925" t="s">
        <v>12892</v>
      </c>
      <c r="BN925" t="s">
        <v>74</v>
      </c>
      <c r="BO925" t="s">
        <v>551</v>
      </c>
      <c r="BP925" t="s">
        <v>74</v>
      </c>
      <c r="BQ925" t="s">
        <v>74</v>
      </c>
      <c r="BR925" t="s">
        <v>97</v>
      </c>
      <c r="BS925" t="s">
        <v>12893</v>
      </c>
      <c r="BT925" t="str">
        <f>HYPERLINK("https%3A%2F%2Fwww.webofscience.com%2Fwos%2Fwoscc%2Ffull-record%2FWOS:000181573600002","View Full Record in Web of Science")</f>
        <v>View Full Record in Web of Science</v>
      </c>
    </row>
    <row r="926" spans="1:72" x14ac:dyDescent="0.15">
      <c r="A926" t="s">
        <v>72</v>
      </c>
      <c r="B926" t="s">
        <v>12894</v>
      </c>
      <c r="C926" t="s">
        <v>74</v>
      </c>
      <c r="D926" t="s">
        <v>74</v>
      </c>
      <c r="E926" t="s">
        <v>74</v>
      </c>
      <c r="F926" t="s">
        <v>12894</v>
      </c>
      <c r="G926" t="s">
        <v>74</v>
      </c>
      <c r="H926" t="s">
        <v>74</v>
      </c>
      <c r="I926" t="s">
        <v>12895</v>
      </c>
      <c r="J926" t="s">
        <v>665</v>
      </c>
      <c r="K926" t="s">
        <v>74</v>
      </c>
      <c r="L926" t="s">
        <v>74</v>
      </c>
      <c r="M926" t="s">
        <v>77</v>
      </c>
      <c r="N926" t="s">
        <v>556</v>
      </c>
      <c r="O926" t="s">
        <v>74</v>
      </c>
      <c r="P926" t="s">
        <v>74</v>
      </c>
      <c r="Q926" t="s">
        <v>74</v>
      </c>
      <c r="R926" t="s">
        <v>74</v>
      </c>
      <c r="S926" t="s">
        <v>74</v>
      </c>
      <c r="T926" t="s">
        <v>12896</v>
      </c>
      <c r="U926" t="s">
        <v>12897</v>
      </c>
      <c r="V926" t="s">
        <v>12898</v>
      </c>
      <c r="W926" t="s">
        <v>12899</v>
      </c>
      <c r="X926" t="s">
        <v>12900</v>
      </c>
      <c r="Y926" t="s">
        <v>12901</v>
      </c>
      <c r="Z926" t="s">
        <v>12902</v>
      </c>
      <c r="AA926" t="s">
        <v>12903</v>
      </c>
      <c r="AB926" t="s">
        <v>12904</v>
      </c>
      <c r="AC926" t="s">
        <v>74</v>
      </c>
      <c r="AD926" t="s">
        <v>74</v>
      </c>
      <c r="AE926" t="s">
        <v>74</v>
      </c>
      <c r="AF926" t="s">
        <v>74</v>
      </c>
      <c r="AG926">
        <v>137</v>
      </c>
      <c r="AH926">
        <v>93</v>
      </c>
      <c r="AI926">
        <v>101</v>
      </c>
      <c r="AJ926">
        <v>0</v>
      </c>
      <c r="AK926">
        <v>30</v>
      </c>
      <c r="AL926" t="s">
        <v>539</v>
      </c>
      <c r="AM926" t="s">
        <v>540</v>
      </c>
      <c r="AN926" t="s">
        <v>541</v>
      </c>
      <c r="AO926" t="s">
        <v>672</v>
      </c>
      <c r="AP926" t="s">
        <v>673</v>
      </c>
      <c r="AQ926" t="s">
        <v>74</v>
      </c>
      <c r="AR926" t="s">
        <v>674</v>
      </c>
      <c r="AS926" t="s">
        <v>675</v>
      </c>
      <c r="AT926" t="s">
        <v>12890</v>
      </c>
      <c r="AU926">
        <v>2003</v>
      </c>
      <c r="AV926">
        <v>108</v>
      </c>
      <c r="AW926" t="s">
        <v>8763</v>
      </c>
      <c r="AX926" t="s">
        <v>74</v>
      </c>
      <c r="AY926" t="s">
        <v>74</v>
      </c>
      <c r="AZ926" t="s">
        <v>74</v>
      </c>
      <c r="BA926" t="s">
        <v>74</v>
      </c>
      <c r="BB926" t="s">
        <v>74</v>
      </c>
      <c r="BC926" t="s">
        <v>74</v>
      </c>
      <c r="BD926">
        <v>8079</v>
      </c>
      <c r="BE926" t="s">
        <v>12905</v>
      </c>
      <c r="BF926" t="str">
        <f>HYPERLINK("http://dx.doi.org/10.1029/2001JC001270","http://dx.doi.org/10.1029/2001JC001270")</f>
        <v>http://dx.doi.org/10.1029/2001JC001270</v>
      </c>
      <c r="BG926" t="s">
        <v>74</v>
      </c>
      <c r="BH926" t="s">
        <v>74</v>
      </c>
      <c r="BI926">
        <v>21</v>
      </c>
      <c r="BJ926" t="s">
        <v>678</v>
      </c>
      <c r="BK926" t="s">
        <v>94</v>
      </c>
      <c r="BL926" t="s">
        <v>678</v>
      </c>
      <c r="BM926" t="s">
        <v>12906</v>
      </c>
      <c r="BN926" t="s">
        <v>74</v>
      </c>
      <c r="BO926" t="s">
        <v>154</v>
      </c>
      <c r="BP926" t="s">
        <v>74</v>
      </c>
      <c r="BQ926" t="s">
        <v>74</v>
      </c>
      <c r="BR926" t="s">
        <v>97</v>
      </c>
      <c r="BS926" t="s">
        <v>12907</v>
      </c>
      <c r="BT926" t="str">
        <f>HYPERLINK("https%3A%2F%2Fwww.webofscience.com%2Fwos%2Fwoscc%2Ffull-record%2FWOS:000181799100001","View Full Record in Web of Science")</f>
        <v>View Full Record in Web of Science</v>
      </c>
    </row>
    <row r="927" spans="1:72" x14ac:dyDescent="0.15">
      <c r="A927" t="s">
        <v>72</v>
      </c>
      <c r="B927" t="s">
        <v>12908</v>
      </c>
      <c r="C927" t="s">
        <v>74</v>
      </c>
      <c r="D927" t="s">
        <v>74</v>
      </c>
      <c r="E927" t="s">
        <v>74</v>
      </c>
      <c r="F927" t="s">
        <v>12908</v>
      </c>
      <c r="G927" t="s">
        <v>74</v>
      </c>
      <c r="H927" t="s">
        <v>74</v>
      </c>
      <c r="I927" t="s">
        <v>12909</v>
      </c>
      <c r="J927" t="s">
        <v>728</v>
      </c>
      <c r="K927" t="s">
        <v>74</v>
      </c>
      <c r="L927" t="s">
        <v>74</v>
      </c>
      <c r="M927" t="s">
        <v>77</v>
      </c>
      <c r="N927" t="s">
        <v>78</v>
      </c>
      <c r="O927" t="s">
        <v>74</v>
      </c>
      <c r="P927" t="s">
        <v>74</v>
      </c>
      <c r="Q927" t="s">
        <v>74</v>
      </c>
      <c r="R927" t="s">
        <v>74</v>
      </c>
      <c r="S927" t="s">
        <v>74</v>
      </c>
      <c r="T927" t="s">
        <v>12910</v>
      </c>
      <c r="U927" t="s">
        <v>12911</v>
      </c>
      <c r="V927" t="s">
        <v>12912</v>
      </c>
      <c r="W927" t="s">
        <v>7483</v>
      </c>
      <c r="X927" t="s">
        <v>706</v>
      </c>
      <c r="Y927" t="s">
        <v>12913</v>
      </c>
      <c r="Z927" t="s">
        <v>12914</v>
      </c>
      <c r="AA927" t="s">
        <v>12915</v>
      </c>
      <c r="AB927" t="s">
        <v>74</v>
      </c>
      <c r="AC927" t="s">
        <v>74</v>
      </c>
      <c r="AD927" t="s">
        <v>74</v>
      </c>
      <c r="AE927" t="s">
        <v>74</v>
      </c>
      <c r="AF927" t="s">
        <v>74</v>
      </c>
      <c r="AG927">
        <v>38</v>
      </c>
      <c r="AH927">
        <v>32</v>
      </c>
      <c r="AI927">
        <v>37</v>
      </c>
      <c r="AJ927">
        <v>0</v>
      </c>
      <c r="AK927">
        <v>18</v>
      </c>
      <c r="AL927" t="s">
        <v>539</v>
      </c>
      <c r="AM927" t="s">
        <v>540</v>
      </c>
      <c r="AN927" t="s">
        <v>541</v>
      </c>
      <c r="AO927" t="s">
        <v>736</v>
      </c>
      <c r="AP927" t="s">
        <v>737</v>
      </c>
      <c r="AQ927" t="s">
        <v>74</v>
      </c>
      <c r="AR927" t="s">
        <v>738</v>
      </c>
      <c r="AS927" t="s">
        <v>739</v>
      </c>
      <c r="AT927" t="s">
        <v>12916</v>
      </c>
      <c r="AU927">
        <v>2003</v>
      </c>
      <c r="AV927">
        <v>108</v>
      </c>
      <c r="AW927" t="s">
        <v>12917</v>
      </c>
      <c r="AX927" t="s">
        <v>74</v>
      </c>
      <c r="AY927" t="s">
        <v>74</v>
      </c>
      <c r="AZ927" t="s">
        <v>74</v>
      </c>
      <c r="BA927" t="s">
        <v>74</v>
      </c>
      <c r="BB927" t="s">
        <v>74</v>
      </c>
      <c r="BC927" t="s">
        <v>74</v>
      </c>
      <c r="BD927">
        <v>2020</v>
      </c>
      <c r="BE927" t="s">
        <v>12918</v>
      </c>
      <c r="BF927" t="str">
        <f>HYPERLINK("http://dx.doi.org/10.1029/2001JB000453","http://dx.doi.org/10.1029/2001JB000453")</f>
        <v>http://dx.doi.org/10.1029/2001JB000453</v>
      </c>
      <c r="BG927" t="s">
        <v>74</v>
      </c>
      <c r="BH927" t="s">
        <v>74</v>
      </c>
      <c r="BI927">
        <v>12</v>
      </c>
      <c r="BJ927" t="s">
        <v>176</v>
      </c>
      <c r="BK927" t="s">
        <v>94</v>
      </c>
      <c r="BL927" t="s">
        <v>176</v>
      </c>
      <c r="BM927" t="s">
        <v>12919</v>
      </c>
      <c r="BN927" t="s">
        <v>74</v>
      </c>
      <c r="BO927" t="s">
        <v>74</v>
      </c>
      <c r="BP927" t="s">
        <v>74</v>
      </c>
      <c r="BQ927" t="s">
        <v>74</v>
      </c>
      <c r="BR927" t="s">
        <v>97</v>
      </c>
      <c r="BS927" t="s">
        <v>12920</v>
      </c>
      <c r="BT927" t="str">
        <f>HYPERLINK("https%3A%2F%2Fwww.webofscience.com%2Fwos%2Fwoscc%2Ffull-record%2FWOS:000181799500002","View Full Record in Web of Science")</f>
        <v>View Full Record in Web of Science</v>
      </c>
    </row>
    <row r="928" spans="1:72" x14ac:dyDescent="0.15">
      <c r="A928" t="s">
        <v>72</v>
      </c>
      <c r="B928" t="s">
        <v>12921</v>
      </c>
      <c r="C928" t="s">
        <v>74</v>
      </c>
      <c r="D928" t="s">
        <v>74</v>
      </c>
      <c r="E928" t="s">
        <v>74</v>
      </c>
      <c r="F928" t="s">
        <v>12921</v>
      </c>
      <c r="G928" t="s">
        <v>74</v>
      </c>
      <c r="H928" t="s">
        <v>74</v>
      </c>
      <c r="I928" t="s">
        <v>12922</v>
      </c>
      <c r="J928" t="s">
        <v>4208</v>
      </c>
      <c r="K928" t="s">
        <v>74</v>
      </c>
      <c r="L928" t="s">
        <v>74</v>
      </c>
      <c r="M928" t="s">
        <v>77</v>
      </c>
      <c r="N928" t="s">
        <v>78</v>
      </c>
      <c r="O928" t="s">
        <v>74</v>
      </c>
      <c r="P928" t="s">
        <v>74</v>
      </c>
      <c r="Q928" t="s">
        <v>74</v>
      </c>
      <c r="R928" t="s">
        <v>74</v>
      </c>
      <c r="S928" t="s">
        <v>74</v>
      </c>
      <c r="T928" t="s">
        <v>74</v>
      </c>
      <c r="U928" t="s">
        <v>12923</v>
      </c>
      <c r="V928" t="s">
        <v>12924</v>
      </c>
      <c r="W928" t="s">
        <v>705</v>
      </c>
      <c r="X928" t="s">
        <v>706</v>
      </c>
      <c r="Y928" t="s">
        <v>269</v>
      </c>
      <c r="Z928" t="s">
        <v>12925</v>
      </c>
      <c r="AA928" t="s">
        <v>7486</v>
      </c>
      <c r="AB928" t="s">
        <v>7487</v>
      </c>
      <c r="AC928" t="s">
        <v>74</v>
      </c>
      <c r="AD928" t="s">
        <v>74</v>
      </c>
      <c r="AE928" t="s">
        <v>74</v>
      </c>
      <c r="AF928" t="s">
        <v>74</v>
      </c>
      <c r="AG928">
        <v>27</v>
      </c>
      <c r="AH928">
        <v>21</v>
      </c>
      <c r="AI928">
        <v>24</v>
      </c>
      <c r="AJ928">
        <v>0</v>
      </c>
      <c r="AK928">
        <v>3</v>
      </c>
      <c r="AL928" t="s">
        <v>539</v>
      </c>
      <c r="AM928" t="s">
        <v>540</v>
      </c>
      <c r="AN928" t="s">
        <v>541</v>
      </c>
      <c r="AO928" t="s">
        <v>4218</v>
      </c>
      <c r="AP928" t="s">
        <v>4219</v>
      </c>
      <c r="AQ928" t="s">
        <v>74</v>
      </c>
      <c r="AR928" t="s">
        <v>4220</v>
      </c>
      <c r="AS928" t="s">
        <v>4221</v>
      </c>
      <c r="AT928" t="s">
        <v>12916</v>
      </c>
      <c r="AU928">
        <v>2003</v>
      </c>
      <c r="AV928">
        <v>108</v>
      </c>
      <c r="AW928" t="s">
        <v>12803</v>
      </c>
      <c r="AX928" t="s">
        <v>74</v>
      </c>
      <c r="AY928" t="s">
        <v>74</v>
      </c>
      <c r="AZ928" t="s">
        <v>74</v>
      </c>
      <c r="BA928" t="s">
        <v>74</v>
      </c>
      <c r="BB928" t="s">
        <v>74</v>
      </c>
      <c r="BC928" t="s">
        <v>74</v>
      </c>
      <c r="BD928">
        <v>1024</v>
      </c>
      <c r="BE928" t="s">
        <v>12926</v>
      </c>
      <c r="BF928" t="str">
        <f>HYPERLINK("http://dx.doi.org/10.1029/2002JA009385","http://dx.doi.org/10.1029/2002JA009385")</f>
        <v>http://dx.doi.org/10.1029/2002JA009385</v>
      </c>
      <c r="BG928" t="s">
        <v>74</v>
      </c>
      <c r="BH928" t="s">
        <v>74</v>
      </c>
      <c r="BI928">
        <v>13</v>
      </c>
      <c r="BJ928" t="s">
        <v>1333</v>
      </c>
      <c r="BK928" t="s">
        <v>94</v>
      </c>
      <c r="BL928" t="s">
        <v>1333</v>
      </c>
      <c r="BM928" t="s">
        <v>12927</v>
      </c>
      <c r="BN928" t="s">
        <v>74</v>
      </c>
      <c r="BO928" t="s">
        <v>96</v>
      </c>
      <c r="BP928" t="s">
        <v>74</v>
      </c>
      <c r="BQ928" t="s">
        <v>74</v>
      </c>
      <c r="BR928" t="s">
        <v>97</v>
      </c>
      <c r="BS928" t="s">
        <v>12928</v>
      </c>
      <c r="BT928" t="str">
        <f>HYPERLINK("https%3A%2F%2Fwww.webofscience.com%2Fwos%2Fwoscc%2Ffull-record%2FWOS:000181800200002","View Full Record in Web of Science")</f>
        <v>View Full Record in Web of Science</v>
      </c>
    </row>
    <row r="929" spans="1:72" x14ac:dyDescent="0.15">
      <c r="A929" t="s">
        <v>72</v>
      </c>
      <c r="B929" t="s">
        <v>12929</v>
      </c>
      <c r="C929" t="s">
        <v>74</v>
      </c>
      <c r="D929" t="s">
        <v>74</v>
      </c>
      <c r="E929" t="s">
        <v>74</v>
      </c>
      <c r="F929" t="s">
        <v>12929</v>
      </c>
      <c r="G929" t="s">
        <v>74</v>
      </c>
      <c r="H929" t="s">
        <v>74</v>
      </c>
      <c r="I929" t="s">
        <v>12930</v>
      </c>
      <c r="J929" t="s">
        <v>9149</v>
      </c>
      <c r="K929" t="s">
        <v>74</v>
      </c>
      <c r="L929" t="s">
        <v>74</v>
      </c>
      <c r="M929" t="s">
        <v>77</v>
      </c>
      <c r="N929" t="s">
        <v>773</v>
      </c>
      <c r="O929" t="s">
        <v>74</v>
      </c>
      <c r="P929" t="s">
        <v>74</v>
      </c>
      <c r="Q929" t="s">
        <v>74</v>
      </c>
      <c r="R929" t="s">
        <v>74</v>
      </c>
      <c r="S929" t="s">
        <v>74</v>
      </c>
      <c r="T929" t="s">
        <v>74</v>
      </c>
      <c r="U929" t="s">
        <v>74</v>
      </c>
      <c r="V929" t="s">
        <v>74</v>
      </c>
      <c r="W929" t="s">
        <v>12931</v>
      </c>
      <c r="X929" t="s">
        <v>12932</v>
      </c>
      <c r="Y929" t="s">
        <v>12933</v>
      </c>
      <c r="Z929" t="s">
        <v>74</v>
      </c>
      <c r="AA929" t="s">
        <v>74</v>
      </c>
      <c r="AB929" t="s">
        <v>74</v>
      </c>
      <c r="AC929" t="s">
        <v>74</v>
      </c>
      <c r="AD929" t="s">
        <v>74</v>
      </c>
      <c r="AE929" t="s">
        <v>74</v>
      </c>
      <c r="AF929" t="s">
        <v>74</v>
      </c>
      <c r="AG929">
        <v>12</v>
      </c>
      <c r="AH929">
        <v>37</v>
      </c>
      <c r="AI929">
        <v>52</v>
      </c>
      <c r="AJ929">
        <v>0</v>
      </c>
      <c r="AK929">
        <v>12</v>
      </c>
      <c r="AL929" t="s">
        <v>9157</v>
      </c>
      <c r="AM929" t="s">
        <v>964</v>
      </c>
      <c r="AN929" t="s">
        <v>9158</v>
      </c>
      <c r="AO929" t="s">
        <v>9159</v>
      </c>
      <c r="AP929" t="s">
        <v>74</v>
      </c>
      <c r="AQ929" t="s">
        <v>74</v>
      </c>
      <c r="AR929" t="s">
        <v>9149</v>
      </c>
      <c r="AS929" t="s">
        <v>9161</v>
      </c>
      <c r="AT929" t="s">
        <v>12916</v>
      </c>
      <c r="AU929">
        <v>2003</v>
      </c>
      <c r="AV929">
        <v>421</v>
      </c>
      <c r="AW929">
        <v>6920</v>
      </c>
      <c r="AX929" t="s">
        <v>74</v>
      </c>
      <c r="AY929" t="s">
        <v>74</v>
      </c>
      <c r="AZ929" t="s">
        <v>74</v>
      </c>
      <c r="BA929" t="s">
        <v>74</v>
      </c>
      <c r="BB929">
        <v>221</v>
      </c>
      <c r="BC929">
        <v>223</v>
      </c>
      <c r="BD929" t="s">
        <v>74</v>
      </c>
      <c r="BE929" t="s">
        <v>12934</v>
      </c>
      <c r="BF929" t="str">
        <f>HYPERLINK("http://dx.doi.org/10.1038/421221a","http://dx.doi.org/10.1038/421221a")</f>
        <v>http://dx.doi.org/10.1038/421221a</v>
      </c>
      <c r="BG929" t="s">
        <v>74</v>
      </c>
      <c r="BH929" t="s">
        <v>74</v>
      </c>
      <c r="BI929">
        <v>3</v>
      </c>
      <c r="BJ929" t="s">
        <v>971</v>
      </c>
      <c r="BK929" t="s">
        <v>94</v>
      </c>
      <c r="BL929" t="s">
        <v>972</v>
      </c>
      <c r="BM929" t="s">
        <v>12935</v>
      </c>
      <c r="BN929">
        <v>12529624</v>
      </c>
      <c r="BO929" t="s">
        <v>74</v>
      </c>
      <c r="BP929" t="s">
        <v>74</v>
      </c>
      <c r="BQ929" t="s">
        <v>74</v>
      </c>
      <c r="BR929" t="s">
        <v>97</v>
      </c>
      <c r="BS929" t="s">
        <v>12936</v>
      </c>
      <c r="BT929" t="str">
        <f>HYPERLINK("https%3A%2F%2Fwww.webofscience.com%2Fwos%2Fwoscc%2Ffull-record%2FWOS:000180397600029","View Full Record in Web of Science")</f>
        <v>View Full Record in Web of Science</v>
      </c>
    </row>
    <row r="930" spans="1:72" x14ac:dyDescent="0.15">
      <c r="A930" t="s">
        <v>72</v>
      </c>
      <c r="B930" t="s">
        <v>809</v>
      </c>
      <c r="C930" t="s">
        <v>74</v>
      </c>
      <c r="D930" t="s">
        <v>74</v>
      </c>
      <c r="E930" t="s">
        <v>74</v>
      </c>
      <c r="F930" t="s">
        <v>809</v>
      </c>
      <c r="G930" t="s">
        <v>74</v>
      </c>
      <c r="H930" t="s">
        <v>74</v>
      </c>
      <c r="I930" t="s">
        <v>12937</v>
      </c>
      <c r="J930" t="s">
        <v>9149</v>
      </c>
      <c r="K930" t="s">
        <v>74</v>
      </c>
      <c r="L930" t="s">
        <v>74</v>
      </c>
      <c r="M930" t="s">
        <v>77</v>
      </c>
      <c r="N930" t="s">
        <v>78</v>
      </c>
      <c r="O930" t="s">
        <v>74</v>
      </c>
      <c r="P930" t="s">
        <v>74</v>
      </c>
      <c r="Q930" t="s">
        <v>74</v>
      </c>
      <c r="R930" t="s">
        <v>74</v>
      </c>
      <c r="S930" t="s">
        <v>74</v>
      </c>
      <c r="T930" t="s">
        <v>74</v>
      </c>
      <c r="U930" t="s">
        <v>12938</v>
      </c>
      <c r="V930" t="s">
        <v>12939</v>
      </c>
      <c r="W930" t="s">
        <v>825</v>
      </c>
      <c r="X930" t="s">
        <v>826</v>
      </c>
      <c r="Y930" t="s">
        <v>827</v>
      </c>
      <c r="Z930" t="s">
        <v>12940</v>
      </c>
      <c r="AA930" t="s">
        <v>74</v>
      </c>
      <c r="AB930" t="s">
        <v>74</v>
      </c>
      <c r="AC930" t="s">
        <v>74</v>
      </c>
      <c r="AD930" t="s">
        <v>74</v>
      </c>
      <c r="AE930" t="s">
        <v>74</v>
      </c>
      <c r="AF930" t="s">
        <v>74</v>
      </c>
      <c r="AG930">
        <v>30</v>
      </c>
      <c r="AH930">
        <v>758</v>
      </c>
      <c r="AI930">
        <v>869</v>
      </c>
      <c r="AJ930">
        <v>8</v>
      </c>
      <c r="AK930">
        <v>333</v>
      </c>
      <c r="AL930" t="s">
        <v>9157</v>
      </c>
      <c r="AM930" t="s">
        <v>964</v>
      </c>
      <c r="AN930" t="s">
        <v>9158</v>
      </c>
      <c r="AO930" t="s">
        <v>9159</v>
      </c>
      <c r="AP930" t="s">
        <v>9160</v>
      </c>
      <c r="AQ930" t="s">
        <v>74</v>
      </c>
      <c r="AR930" t="s">
        <v>9149</v>
      </c>
      <c r="AS930" t="s">
        <v>9161</v>
      </c>
      <c r="AT930" t="s">
        <v>12916</v>
      </c>
      <c r="AU930">
        <v>2003</v>
      </c>
      <c r="AV930">
        <v>421</v>
      </c>
      <c r="AW930">
        <v>6920</v>
      </c>
      <c r="AX930" t="s">
        <v>74</v>
      </c>
      <c r="AY930" t="s">
        <v>74</v>
      </c>
      <c r="AZ930" t="s">
        <v>74</v>
      </c>
      <c r="BA930" t="s">
        <v>74</v>
      </c>
      <c r="BB930">
        <v>245</v>
      </c>
      <c r="BC930">
        <v>249</v>
      </c>
      <c r="BD930" t="s">
        <v>74</v>
      </c>
      <c r="BE930" t="s">
        <v>12941</v>
      </c>
      <c r="BF930" t="str">
        <f>HYPERLINK("http://dx.doi.org/10.1038/nature01290","http://dx.doi.org/10.1038/nature01290")</f>
        <v>http://dx.doi.org/10.1038/nature01290</v>
      </c>
      <c r="BG930" t="s">
        <v>74</v>
      </c>
      <c r="BH930" t="s">
        <v>74</v>
      </c>
      <c r="BI930">
        <v>6</v>
      </c>
      <c r="BJ930" t="s">
        <v>971</v>
      </c>
      <c r="BK930" t="s">
        <v>94</v>
      </c>
      <c r="BL930" t="s">
        <v>972</v>
      </c>
      <c r="BM930" t="s">
        <v>12935</v>
      </c>
      <c r="BN930">
        <v>12529638</v>
      </c>
      <c r="BO930" t="s">
        <v>74</v>
      </c>
      <c r="BP930" t="s">
        <v>74</v>
      </c>
      <c r="BQ930" t="s">
        <v>74</v>
      </c>
      <c r="BR930" t="s">
        <v>97</v>
      </c>
      <c r="BS930" t="s">
        <v>12942</v>
      </c>
      <c r="BT930" t="str">
        <f>HYPERLINK("https%3A%2F%2Fwww.webofscience.com%2Fwos%2Fwoscc%2Ffull-record%2FWOS:000180397600041","View Full Record in Web of Science")</f>
        <v>View Full Record in Web of Science</v>
      </c>
    </row>
    <row r="931" spans="1:72" x14ac:dyDescent="0.15">
      <c r="A931" t="s">
        <v>72</v>
      </c>
      <c r="B931" t="s">
        <v>12943</v>
      </c>
      <c r="C931" t="s">
        <v>74</v>
      </c>
      <c r="D931" t="s">
        <v>74</v>
      </c>
      <c r="E931" t="s">
        <v>74</v>
      </c>
      <c r="F931" t="s">
        <v>12943</v>
      </c>
      <c r="G931" t="s">
        <v>74</v>
      </c>
      <c r="H931" t="s">
        <v>74</v>
      </c>
      <c r="I931" t="s">
        <v>12944</v>
      </c>
      <c r="J931" t="s">
        <v>12945</v>
      </c>
      <c r="K931" t="s">
        <v>74</v>
      </c>
      <c r="L931" t="s">
        <v>74</v>
      </c>
      <c r="M931" t="s">
        <v>77</v>
      </c>
      <c r="N931" t="s">
        <v>159</v>
      </c>
      <c r="O931" t="s">
        <v>12946</v>
      </c>
      <c r="P931" t="s">
        <v>12947</v>
      </c>
      <c r="Q931" t="s">
        <v>12948</v>
      </c>
      <c r="R931" t="s">
        <v>74</v>
      </c>
      <c r="S931" t="s">
        <v>74</v>
      </c>
      <c r="T931" t="s">
        <v>12949</v>
      </c>
      <c r="U931" t="s">
        <v>12950</v>
      </c>
      <c r="V931" t="s">
        <v>12951</v>
      </c>
      <c r="W931" t="s">
        <v>12952</v>
      </c>
      <c r="X931" t="s">
        <v>12953</v>
      </c>
      <c r="Y931" t="s">
        <v>12954</v>
      </c>
      <c r="Z931" t="s">
        <v>74</v>
      </c>
      <c r="AA931" t="s">
        <v>12955</v>
      </c>
      <c r="AB931" t="s">
        <v>12956</v>
      </c>
      <c r="AC931" t="s">
        <v>74</v>
      </c>
      <c r="AD931" t="s">
        <v>74</v>
      </c>
      <c r="AE931" t="s">
        <v>74</v>
      </c>
      <c r="AF931" t="s">
        <v>74</v>
      </c>
      <c r="AG931">
        <v>19</v>
      </c>
      <c r="AH931">
        <v>12</v>
      </c>
      <c r="AI931">
        <v>12</v>
      </c>
      <c r="AJ931">
        <v>1</v>
      </c>
      <c r="AK931">
        <v>13</v>
      </c>
      <c r="AL931" t="s">
        <v>110</v>
      </c>
      <c r="AM931" t="s">
        <v>111</v>
      </c>
      <c r="AN931" t="s">
        <v>112</v>
      </c>
      <c r="AO931" t="s">
        <v>12957</v>
      </c>
      <c r="AP931" t="s">
        <v>74</v>
      </c>
      <c r="AQ931" t="s">
        <v>74</v>
      </c>
      <c r="AR931" t="s">
        <v>12958</v>
      </c>
      <c r="AS931" t="s">
        <v>12959</v>
      </c>
      <c r="AT931" t="s">
        <v>12960</v>
      </c>
      <c r="AU931">
        <v>2003</v>
      </c>
      <c r="AV931">
        <v>203</v>
      </c>
      <c r="AW931" t="s">
        <v>74</v>
      </c>
      <c r="AX931" t="s">
        <v>74</v>
      </c>
      <c r="AY931" t="s">
        <v>74</v>
      </c>
      <c r="AZ931" t="s">
        <v>74</v>
      </c>
      <c r="BA931" t="s">
        <v>74</v>
      </c>
      <c r="BB931">
        <v>810</v>
      </c>
      <c r="BC931">
        <v>813</v>
      </c>
      <c r="BD931" t="s">
        <v>12961</v>
      </c>
      <c r="BE931" t="s">
        <v>12962</v>
      </c>
      <c r="BF931" t="str">
        <f>HYPERLINK("http://dx.doi.org/10.1016/S0169-4332(02)00831-0","http://dx.doi.org/10.1016/S0169-4332(02)00831-0")</f>
        <v>http://dx.doi.org/10.1016/S0169-4332(02)00831-0</v>
      </c>
      <c r="BG931" t="s">
        <v>74</v>
      </c>
      <c r="BH931" t="s">
        <v>74</v>
      </c>
      <c r="BI931">
        <v>4</v>
      </c>
      <c r="BJ931" t="s">
        <v>12963</v>
      </c>
      <c r="BK931" t="s">
        <v>854</v>
      </c>
      <c r="BL931" t="s">
        <v>12964</v>
      </c>
      <c r="BM931" t="s">
        <v>12965</v>
      </c>
      <c r="BN931" t="s">
        <v>74</v>
      </c>
      <c r="BO931" t="s">
        <v>74</v>
      </c>
      <c r="BP931" t="s">
        <v>74</v>
      </c>
      <c r="BQ931" t="s">
        <v>74</v>
      </c>
      <c r="BR931" t="s">
        <v>97</v>
      </c>
      <c r="BS931" t="s">
        <v>12966</v>
      </c>
      <c r="BT931" t="str">
        <f>HYPERLINK("https%3A%2F%2Fwww.webofscience.com%2Fwos%2Fwoscc%2Ffull-record%2FWOS:000180527300181","View Full Record in Web of Science")</f>
        <v>View Full Record in Web of Science</v>
      </c>
    </row>
    <row r="932" spans="1:72" x14ac:dyDescent="0.15">
      <c r="A932" t="s">
        <v>72</v>
      </c>
      <c r="B932" t="s">
        <v>12967</v>
      </c>
      <c r="C932" t="s">
        <v>74</v>
      </c>
      <c r="D932" t="s">
        <v>74</v>
      </c>
      <c r="E932" t="s">
        <v>74</v>
      </c>
      <c r="F932" t="s">
        <v>12967</v>
      </c>
      <c r="G932" t="s">
        <v>74</v>
      </c>
      <c r="H932" t="s">
        <v>74</v>
      </c>
      <c r="I932" t="s">
        <v>12968</v>
      </c>
      <c r="J932" t="s">
        <v>2922</v>
      </c>
      <c r="K932" t="s">
        <v>74</v>
      </c>
      <c r="L932" t="s">
        <v>74</v>
      </c>
      <c r="M932" t="s">
        <v>77</v>
      </c>
      <c r="N932" t="s">
        <v>78</v>
      </c>
      <c r="O932" t="s">
        <v>74</v>
      </c>
      <c r="P932" t="s">
        <v>74</v>
      </c>
      <c r="Q932" t="s">
        <v>74</v>
      </c>
      <c r="R932" t="s">
        <v>74</v>
      </c>
      <c r="S932" t="s">
        <v>74</v>
      </c>
      <c r="T932" t="s">
        <v>12969</v>
      </c>
      <c r="U932" t="s">
        <v>12970</v>
      </c>
      <c r="V932" t="s">
        <v>12971</v>
      </c>
      <c r="W932" t="s">
        <v>6234</v>
      </c>
      <c r="X932" t="s">
        <v>351</v>
      </c>
      <c r="Y932" t="s">
        <v>6319</v>
      </c>
      <c r="Z932" t="s">
        <v>74</v>
      </c>
      <c r="AA932" t="s">
        <v>6320</v>
      </c>
      <c r="AB932" t="s">
        <v>6321</v>
      </c>
      <c r="AC932" t="s">
        <v>74</v>
      </c>
      <c r="AD932" t="s">
        <v>74</v>
      </c>
      <c r="AE932" t="s">
        <v>74</v>
      </c>
      <c r="AF932" t="s">
        <v>74</v>
      </c>
      <c r="AG932">
        <v>67</v>
      </c>
      <c r="AH932">
        <v>65</v>
      </c>
      <c r="AI932">
        <v>68</v>
      </c>
      <c r="AJ932">
        <v>0</v>
      </c>
      <c r="AK932">
        <v>23</v>
      </c>
      <c r="AL932" t="s">
        <v>110</v>
      </c>
      <c r="AM932" t="s">
        <v>111</v>
      </c>
      <c r="AN932" t="s">
        <v>112</v>
      </c>
      <c r="AO932" t="s">
        <v>2931</v>
      </c>
      <c r="AP932" t="s">
        <v>74</v>
      </c>
      <c r="AQ932" t="s">
        <v>74</v>
      </c>
      <c r="AR932" t="s">
        <v>2933</v>
      </c>
      <c r="AS932" t="s">
        <v>2934</v>
      </c>
      <c r="AT932" t="s">
        <v>12960</v>
      </c>
      <c r="AU932">
        <v>2003</v>
      </c>
      <c r="AV932">
        <v>283</v>
      </c>
      <c r="AW932" t="s">
        <v>787</v>
      </c>
      <c r="AX932" t="s">
        <v>74</v>
      </c>
      <c r="AY932" t="s">
        <v>74</v>
      </c>
      <c r="AZ932" t="s">
        <v>74</v>
      </c>
      <c r="BA932" t="s">
        <v>74</v>
      </c>
      <c r="BB932">
        <v>21</v>
      </c>
      <c r="BC932">
        <v>50</v>
      </c>
      <c r="BD932" t="s">
        <v>12972</v>
      </c>
      <c r="BE932" t="s">
        <v>12973</v>
      </c>
      <c r="BF932" t="str">
        <f>HYPERLINK("http://dx.doi.org/10.1016/S0022-0981(02)00449-5","http://dx.doi.org/10.1016/S0022-0981(02)00449-5")</f>
        <v>http://dx.doi.org/10.1016/S0022-0981(02)00449-5</v>
      </c>
      <c r="BG932" t="s">
        <v>74</v>
      </c>
      <c r="BH932" t="s">
        <v>74</v>
      </c>
      <c r="BI932">
        <v>30</v>
      </c>
      <c r="BJ932" t="s">
        <v>485</v>
      </c>
      <c r="BK932" t="s">
        <v>94</v>
      </c>
      <c r="BL932" t="s">
        <v>486</v>
      </c>
      <c r="BM932" t="s">
        <v>12974</v>
      </c>
      <c r="BN932" t="s">
        <v>74</v>
      </c>
      <c r="BO932" t="s">
        <v>74</v>
      </c>
      <c r="BP932" t="s">
        <v>74</v>
      </c>
      <c r="BQ932" t="s">
        <v>74</v>
      </c>
      <c r="BR932" t="s">
        <v>97</v>
      </c>
      <c r="BS932" t="s">
        <v>12975</v>
      </c>
      <c r="BT932" t="str">
        <f>HYPERLINK("https%3A%2F%2Fwww.webofscience.com%2Fwos%2Fwoscc%2Ffull-record%2FWOS:000180448600002","View Full Record in Web of Science")</f>
        <v>View Full Record in Web of Science</v>
      </c>
    </row>
    <row r="933" spans="1:72" x14ac:dyDescent="0.15">
      <c r="A933" t="s">
        <v>72</v>
      </c>
      <c r="B933" t="s">
        <v>12976</v>
      </c>
      <c r="C933" t="s">
        <v>74</v>
      </c>
      <c r="D933" t="s">
        <v>74</v>
      </c>
      <c r="E933" t="s">
        <v>74</v>
      </c>
      <c r="F933" t="s">
        <v>12976</v>
      </c>
      <c r="G933" t="s">
        <v>74</v>
      </c>
      <c r="H933" t="s">
        <v>74</v>
      </c>
      <c r="I933" t="s">
        <v>12977</v>
      </c>
      <c r="J933" t="s">
        <v>2922</v>
      </c>
      <c r="K933" t="s">
        <v>74</v>
      </c>
      <c r="L933" t="s">
        <v>74</v>
      </c>
      <c r="M933" t="s">
        <v>77</v>
      </c>
      <c r="N933" t="s">
        <v>78</v>
      </c>
      <c r="O933" t="s">
        <v>74</v>
      </c>
      <c r="P933" t="s">
        <v>74</v>
      </c>
      <c r="Q933" t="s">
        <v>74</v>
      </c>
      <c r="R933" t="s">
        <v>74</v>
      </c>
      <c r="S933" t="s">
        <v>74</v>
      </c>
      <c r="T933" t="s">
        <v>12978</v>
      </c>
      <c r="U933" t="s">
        <v>12979</v>
      </c>
      <c r="V933" t="s">
        <v>12980</v>
      </c>
      <c r="W933" t="s">
        <v>12981</v>
      </c>
      <c r="X933" t="s">
        <v>12982</v>
      </c>
      <c r="Y933" t="s">
        <v>12983</v>
      </c>
      <c r="Z933" t="s">
        <v>12984</v>
      </c>
      <c r="AA933" t="s">
        <v>74</v>
      </c>
      <c r="AB933" t="s">
        <v>74</v>
      </c>
      <c r="AC933" t="s">
        <v>74</v>
      </c>
      <c r="AD933" t="s">
        <v>74</v>
      </c>
      <c r="AE933" t="s">
        <v>74</v>
      </c>
      <c r="AF933" t="s">
        <v>74</v>
      </c>
      <c r="AG933">
        <v>44</v>
      </c>
      <c r="AH933">
        <v>22</v>
      </c>
      <c r="AI933">
        <v>24</v>
      </c>
      <c r="AJ933">
        <v>2</v>
      </c>
      <c r="AK933">
        <v>25</v>
      </c>
      <c r="AL933" t="s">
        <v>781</v>
      </c>
      <c r="AM933" t="s">
        <v>111</v>
      </c>
      <c r="AN933" t="s">
        <v>782</v>
      </c>
      <c r="AO933" t="s">
        <v>2931</v>
      </c>
      <c r="AP933" t="s">
        <v>2932</v>
      </c>
      <c r="AQ933" t="s">
        <v>74</v>
      </c>
      <c r="AR933" t="s">
        <v>2933</v>
      </c>
      <c r="AS933" t="s">
        <v>2934</v>
      </c>
      <c r="AT933" t="s">
        <v>12960</v>
      </c>
      <c r="AU933">
        <v>2003</v>
      </c>
      <c r="AV933">
        <v>283</v>
      </c>
      <c r="AW933" t="s">
        <v>787</v>
      </c>
      <c r="AX933" t="s">
        <v>74</v>
      </c>
      <c r="AY933" t="s">
        <v>74</v>
      </c>
      <c r="AZ933" t="s">
        <v>74</v>
      </c>
      <c r="BA933" t="s">
        <v>74</v>
      </c>
      <c r="BB933">
        <v>79</v>
      </c>
      <c r="BC933">
        <v>95</v>
      </c>
      <c r="BD933" t="s">
        <v>12985</v>
      </c>
      <c r="BE933" t="s">
        <v>12986</v>
      </c>
      <c r="BF933" t="str">
        <f>HYPERLINK("http://dx.doi.org/10.1016/S0022-0981(02)00466-5","http://dx.doi.org/10.1016/S0022-0981(02)00466-5")</f>
        <v>http://dx.doi.org/10.1016/S0022-0981(02)00466-5</v>
      </c>
      <c r="BG933" t="s">
        <v>74</v>
      </c>
      <c r="BH933" t="s">
        <v>74</v>
      </c>
      <c r="BI933">
        <v>17</v>
      </c>
      <c r="BJ933" t="s">
        <v>485</v>
      </c>
      <c r="BK933" t="s">
        <v>94</v>
      </c>
      <c r="BL933" t="s">
        <v>486</v>
      </c>
      <c r="BM933" t="s">
        <v>12974</v>
      </c>
      <c r="BN933" t="s">
        <v>74</v>
      </c>
      <c r="BO933" t="s">
        <v>74</v>
      </c>
      <c r="BP933" t="s">
        <v>74</v>
      </c>
      <c r="BQ933" t="s">
        <v>74</v>
      </c>
      <c r="BR933" t="s">
        <v>97</v>
      </c>
      <c r="BS933" t="s">
        <v>12987</v>
      </c>
      <c r="BT933" t="str">
        <f>HYPERLINK("https%3A%2F%2Fwww.webofscience.com%2Fwos%2Fwoscc%2Ffull-record%2FWOS:000180448600005","View Full Record in Web of Science")</f>
        <v>View Full Record in Web of Science</v>
      </c>
    </row>
    <row r="934" spans="1:72" x14ac:dyDescent="0.15">
      <c r="A934" t="s">
        <v>72</v>
      </c>
      <c r="B934" t="s">
        <v>12988</v>
      </c>
      <c r="C934" t="s">
        <v>74</v>
      </c>
      <c r="D934" t="s">
        <v>74</v>
      </c>
      <c r="E934" t="s">
        <v>74</v>
      </c>
      <c r="F934" t="s">
        <v>12988</v>
      </c>
      <c r="G934" t="s">
        <v>74</v>
      </c>
      <c r="H934" t="s">
        <v>74</v>
      </c>
      <c r="I934" t="s">
        <v>12989</v>
      </c>
      <c r="J934" t="s">
        <v>2922</v>
      </c>
      <c r="K934" t="s">
        <v>74</v>
      </c>
      <c r="L934" t="s">
        <v>74</v>
      </c>
      <c r="M934" t="s">
        <v>77</v>
      </c>
      <c r="N934" t="s">
        <v>78</v>
      </c>
      <c r="O934" t="s">
        <v>74</v>
      </c>
      <c r="P934" t="s">
        <v>74</v>
      </c>
      <c r="Q934" t="s">
        <v>74</v>
      </c>
      <c r="R934" t="s">
        <v>74</v>
      </c>
      <c r="S934" t="s">
        <v>74</v>
      </c>
      <c r="T934" t="s">
        <v>12990</v>
      </c>
      <c r="U934" t="s">
        <v>12991</v>
      </c>
      <c r="V934" t="s">
        <v>12992</v>
      </c>
      <c r="W934" t="s">
        <v>12981</v>
      </c>
      <c r="X934" t="s">
        <v>12982</v>
      </c>
      <c r="Y934" t="s">
        <v>12983</v>
      </c>
      <c r="Z934" t="s">
        <v>12984</v>
      </c>
      <c r="AA934" t="s">
        <v>74</v>
      </c>
      <c r="AB934" t="s">
        <v>74</v>
      </c>
      <c r="AC934" t="s">
        <v>74</v>
      </c>
      <c r="AD934" t="s">
        <v>74</v>
      </c>
      <c r="AE934" t="s">
        <v>74</v>
      </c>
      <c r="AF934" t="s">
        <v>74</v>
      </c>
      <c r="AG934">
        <v>50</v>
      </c>
      <c r="AH934">
        <v>101</v>
      </c>
      <c r="AI934">
        <v>124</v>
      </c>
      <c r="AJ934">
        <v>1</v>
      </c>
      <c r="AK934">
        <v>26</v>
      </c>
      <c r="AL934" t="s">
        <v>781</v>
      </c>
      <c r="AM934" t="s">
        <v>111</v>
      </c>
      <c r="AN934" t="s">
        <v>782</v>
      </c>
      <c r="AO934" t="s">
        <v>2931</v>
      </c>
      <c r="AP934" t="s">
        <v>2932</v>
      </c>
      <c r="AQ934" t="s">
        <v>74</v>
      </c>
      <c r="AR934" t="s">
        <v>2933</v>
      </c>
      <c r="AS934" t="s">
        <v>2934</v>
      </c>
      <c r="AT934" t="s">
        <v>12960</v>
      </c>
      <c r="AU934">
        <v>2003</v>
      </c>
      <c r="AV934">
        <v>283</v>
      </c>
      <c r="AW934" t="s">
        <v>787</v>
      </c>
      <c r="AX934" t="s">
        <v>74</v>
      </c>
      <c r="AY934" t="s">
        <v>74</v>
      </c>
      <c r="AZ934" t="s">
        <v>74</v>
      </c>
      <c r="BA934" t="s">
        <v>74</v>
      </c>
      <c r="BB934">
        <v>97</v>
      </c>
      <c r="BC934">
        <v>113</v>
      </c>
      <c r="BD934" t="s">
        <v>12993</v>
      </c>
      <c r="BE934" t="s">
        <v>12994</v>
      </c>
      <c r="BF934" t="str">
        <f>HYPERLINK("http://dx.doi.org/10.1016/S0022-0981(02)00467-7","http://dx.doi.org/10.1016/S0022-0981(02)00467-7")</f>
        <v>http://dx.doi.org/10.1016/S0022-0981(02)00467-7</v>
      </c>
      <c r="BG934" t="s">
        <v>74</v>
      </c>
      <c r="BH934" t="s">
        <v>74</v>
      </c>
      <c r="BI934">
        <v>17</v>
      </c>
      <c r="BJ934" t="s">
        <v>485</v>
      </c>
      <c r="BK934" t="s">
        <v>94</v>
      </c>
      <c r="BL934" t="s">
        <v>486</v>
      </c>
      <c r="BM934" t="s">
        <v>12974</v>
      </c>
      <c r="BN934" t="s">
        <v>74</v>
      </c>
      <c r="BO934" t="s">
        <v>74</v>
      </c>
      <c r="BP934" t="s">
        <v>74</v>
      </c>
      <c r="BQ934" t="s">
        <v>74</v>
      </c>
      <c r="BR934" t="s">
        <v>97</v>
      </c>
      <c r="BS934" t="s">
        <v>12995</v>
      </c>
      <c r="BT934" t="str">
        <f>HYPERLINK("https%3A%2F%2Fwww.webofscience.com%2Fwos%2Fwoscc%2Ffull-record%2FWOS:000180448600006","View Full Record in Web of Science")</f>
        <v>View Full Record in Web of Science</v>
      </c>
    </row>
    <row r="935" spans="1:72" x14ac:dyDescent="0.15">
      <c r="A935" t="s">
        <v>72</v>
      </c>
      <c r="B935" t="s">
        <v>12996</v>
      </c>
      <c r="C935" t="s">
        <v>74</v>
      </c>
      <c r="D935" t="s">
        <v>74</v>
      </c>
      <c r="E935" t="s">
        <v>74</v>
      </c>
      <c r="F935" t="s">
        <v>12996</v>
      </c>
      <c r="G935" t="s">
        <v>74</v>
      </c>
      <c r="H935" t="s">
        <v>74</v>
      </c>
      <c r="I935" t="s">
        <v>12997</v>
      </c>
      <c r="J935" t="s">
        <v>8979</v>
      </c>
      <c r="K935" t="s">
        <v>74</v>
      </c>
      <c r="L935" t="s">
        <v>74</v>
      </c>
      <c r="M935" t="s">
        <v>77</v>
      </c>
      <c r="N935" t="s">
        <v>78</v>
      </c>
      <c r="O935" t="s">
        <v>74</v>
      </c>
      <c r="P935" t="s">
        <v>74</v>
      </c>
      <c r="Q935" t="s">
        <v>74</v>
      </c>
      <c r="R935" t="s">
        <v>74</v>
      </c>
      <c r="S935" t="s">
        <v>74</v>
      </c>
      <c r="T935" t="s">
        <v>12998</v>
      </c>
      <c r="U935" t="s">
        <v>12999</v>
      </c>
      <c r="V935" t="s">
        <v>13000</v>
      </c>
      <c r="W935" t="s">
        <v>13001</v>
      </c>
      <c r="X935" t="s">
        <v>13002</v>
      </c>
      <c r="Y935" t="s">
        <v>13003</v>
      </c>
      <c r="Z935" t="s">
        <v>13004</v>
      </c>
      <c r="AA935" t="s">
        <v>13005</v>
      </c>
      <c r="AB935" t="s">
        <v>13006</v>
      </c>
      <c r="AC935" t="s">
        <v>74</v>
      </c>
      <c r="AD935" t="s">
        <v>74</v>
      </c>
      <c r="AE935" t="s">
        <v>74</v>
      </c>
      <c r="AF935" t="s">
        <v>74</v>
      </c>
      <c r="AG935">
        <v>87</v>
      </c>
      <c r="AH935">
        <v>60</v>
      </c>
      <c r="AI935">
        <v>68</v>
      </c>
      <c r="AJ935">
        <v>1</v>
      </c>
      <c r="AK935">
        <v>10</v>
      </c>
      <c r="AL935" t="s">
        <v>781</v>
      </c>
      <c r="AM935" t="s">
        <v>111</v>
      </c>
      <c r="AN935" t="s">
        <v>782</v>
      </c>
      <c r="AO935" t="s">
        <v>8989</v>
      </c>
      <c r="AP935" t="s">
        <v>8990</v>
      </c>
      <c r="AQ935" t="s">
        <v>74</v>
      </c>
      <c r="AR935" t="s">
        <v>8991</v>
      </c>
      <c r="AS935" t="s">
        <v>8992</v>
      </c>
      <c r="AT935" t="s">
        <v>12960</v>
      </c>
      <c r="AU935">
        <v>2003</v>
      </c>
      <c r="AV935">
        <v>193</v>
      </c>
      <c r="AW935" t="s">
        <v>787</v>
      </c>
      <c r="AX935" t="s">
        <v>74</v>
      </c>
      <c r="AY935" t="s">
        <v>74</v>
      </c>
      <c r="AZ935" t="s">
        <v>74</v>
      </c>
      <c r="BA935" t="s">
        <v>74</v>
      </c>
      <c r="BB935">
        <v>19</v>
      </c>
      <c r="BC935">
        <v>47</v>
      </c>
      <c r="BD935" t="s">
        <v>13007</v>
      </c>
      <c r="BE935" t="s">
        <v>13008</v>
      </c>
      <c r="BF935" t="str">
        <f>HYPERLINK("http://dx.doi.org/10.1016/S0025-3227(02)00612-6","http://dx.doi.org/10.1016/S0025-3227(02)00612-6")</f>
        <v>http://dx.doi.org/10.1016/S0025-3227(02)00612-6</v>
      </c>
      <c r="BG935" t="s">
        <v>74</v>
      </c>
      <c r="BH935" t="s">
        <v>74</v>
      </c>
      <c r="BI935">
        <v>29</v>
      </c>
      <c r="BJ935" t="s">
        <v>8994</v>
      </c>
      <c r="BK935" t="s">
        <v>94</v>
      </c>
      <c r="BL935" t="s">
        <v>8995</v>
      </c>
      <c r="BM935" t="s">
        <v>13009</v>
      </c>
      <c r="BN935" t="s">
        <v>74</v>
      </c>
      <c r="BO935" t="s">
        <v>74</v>
      </c>
      <c r="BP935" t="s">
        <v>74</v>
      </c>
      <c r="BQ935" t="s">
        <v>74</v>
      </c>
      <c r="BR935" t="s">
        <v>97</v>
      </c>
      <c r="BS935" t="s">
        <v>13010</v>
      </c>
      <c r="BT935" t="str">
        <f>HYPERLINK("https%3A%2F%2Fwww.webofscience.com%2Fwos%2Fwoscc%2Ffull-record%2FWOS:000180495100002","View Full Record in Web of Science")</f>
        <v>View Full Record in Web of Science</v>
      </c>
    </row>
    <row r="936" spans="1:72" x14ac:dyDescent="0.15">
      <c r="A936" t="s">
        <v>72</v>
      </c>
      <c r="B936" t="s">
        <v>13011</v>
      </c>
      <c r="C936" t="s">
        <v>74</v>
      </c>
      <c r="D936" t="s">
        <v>74</v>
      </c>
      <c r="E936" t="s">
        <v>74</v>
      </c>
      <c r="F936" t="s">
        <v>13011</v>
      </c>
      <c r="G936" t="s">
        <v>74</v>
      </c>
      <c r="H936" t="s">
        <v>74</v>
      </c>
      <c r="I936" t="s">
        <v>13012</v>
      </c>
      <c r="J936" t="s">
        <v>530</v>
      </c>
      <c r="K936" t="s">
        <v>74</v>
      </c>
      <c r="L936" t="s">
        <v>74</v>
      </c>
      <c r="M936" t="s">
        <v>77</v>
      </c>
      <c r="N936" t="s">
        <v>78</v>
      </c>
      <c r="O936" t="s">
        <v>74</v>
      </c>
      <c r="P936" t="s">
        <v>74</v>
      </c>
      <c r="Q936" t="s">
        <v>74</v>
      </c>
      <c r="R936" t="s">
        <v>74</v>
      </c>
      <c r="S936" t="s">
        <v>74</v>
      </c>
      <c r="T936" t="s">
        <v>74</v>
      </c>
      <c r="U936" t="s">
        <v>13013</v>
      </c>
      <c r="V936" t="s">
        <v>13014</v>
      </c>
      <c r="W936" t="s">
        <v>13015</v>
      </c>
      <c r="X936" t="s">
        <v>13016</v>
      </c>
      <c r="Y936" t="s">
        <v>13017</v>
      </c>
      <c r="Z936" t="s">
        <v>74</v>
      </c>
      <c r="AA936" t="s">
        <v>13018</v>
      </c>
      <c r="AB936" t="s">
        <v>13019</v>
      </c>
      <c r="AC936" t="s">
        <v>74</v>
      </c>
      <c r="AD936" t="s">
        <v>74</v>
      </c>
      <c r="AE936" t="s">
        <v>74</v>
      </c>
      <c r="AF936" t="s">
        <v>74</v>
      </c>
      <c r="AG936">
        <v>10</v>
      </c>
      <c r="AH936">
        <v>12</v>
      </c>
      <c r="AI936">
        <v>14</v>
      </c>
      <c r="AJ936">
        <v>0</v>
      </c>
      <c r="AK936">
        <v>0</v>
      </c>
      <c r="AL936" t="s">
        <v>539</v>
      </c>
      <c r="AM936" t="s">
        <v>540</v>
      </c>
      <c r="AN936" t="s">
        <v>541</v>
      </c>
      <c r="AO936" t="s">
        <v>542</v>
      </c>
      <c r="AP936" t="s">
        <v>74</v>
      </c>
      <c r="AQ936" t="s">
        <v>74</v>
      </c>
      <c r="AR936" t="s">
        <v>544</v>
      </c>
      <c r="AS936" t="s">
        <v>545</v>
      </c>
      <c r="AT936" t="s">
        <v>13020</v>
      </c>
      <c r="AU936">
        <v>2003</v>
      </c>
      <c r="AV936">
        <v>30</v>
      </c>
      <c r="AW936">
        <v>1</v>
      </c>
      <c r="AX936" t="s">
        <v>74</v>
      </c>
      <c r="AY936" t="s">
        <v>74</v>
      </c>
      <c r="AZ936" t="s">
        <v>74</v>
      </c>
      <c r="BA936" t="s">
        <v>74</v>
      </c>
      <c r="BB936" t="s">
        <v>74</v>
      </c>
      <c r="BC936" t="s">
        <v>74</v>
      </c>
      <c r="BD936">
        <v>1025</v>
      </c>
      <c r="BE936" t="s">
        <v>13021</v>
      </c>
      <c r="BF936" t="str">
        <f>HYPERLINK("http://dx.doi.org/10.1029/2002GL016413","http://dx.doi.org/10.1029/2002GL016413")</f>
        <v>http://dx.doi.org/10.1029/2002GL016413</v>
      </c>
      <c r="BG936" t="s">
        <v>74</v>
      </c>
      <c r="BH936" t="s">
        <v>74</v>
      </c>
      <c r="BI936">
        <v>4</v>
      </c>
      <c r="BJ936" t="s">
        <v>548</v>
      </c>
      <c r="BK936" t="s">
        <v>94</v>
      </c>
      <c r="BL936" t="s">
        <v>549</v>
      </c>
      <c r="BM936" t="s">
        <v>13022</v>
      </c>
      <c r="BN936" t="s">
        <v>74</v>
      </c>
      <c r="BO936" t="s">
        <v>74</v>
      </c>
      <c r="BP936" t="s">
        <v>74</v>
      </c>
      <c r="BQ936" t="s">
        <v>74</v>
      </c>
      <c r="BR936" t="s">
        <v>97</v>
      </c>
      <c r="BS936" t="s">
        <v>13023</v>
      </c>
      <c r="BT936" t="str">
        <f>HYPERLINK("https%3A%2F%2Fwww.webofscience.com%2Fwos%2Fwoscc%2Ffull-record%2FWOS:000181572400004","View Full Record in Web of Science")</f>
        <v>View Full Record in Web of Science</v>
      </c>
    </row>
    <row r="937" spans="1:72" x14ac:dyDescent="0.15">
      <c r="A937" t="s">
        <v>72</v>
      </c>
      <c r="B937" t="s">
        <v>13024</v>
      </c>
      <c r="C937" t="s">
        <v>74</v>
      </c>
      <c r="D937" t="s">
        <v>74</v>
      </c>
      <c r="E937" t="s">
        <v>74</v>
      </c>
      <c r="F937" t="s">
        <v>13024</v>
      </c>
      <c r="G937" t="s">
        <v>74</v>
      </c>
      <c r="H937" t="s">
        <v>74</v>
      </c>
      <c r="I937" t="s">
        <v>13025</v>
      </c>
      <c r="J937" t="s">
        <v>4208</v>
      </c>
      <c r="K937" t="s">
        <v>74</v>
      </c>
      <c r="L937" t="s">
        <v>74</v>
      </c>
      <c r="M937" t="s">
        <v>77</v>
      </c>
      <c r="N937" t="s">
        <v>78</v>
      </c>
      <c r="O937" t="s">
        <v>74</v>
      </c>
      <c r="P937" t="s">
        <v>74</v>
      </c>
      <c r="Q937" t="s">
        <v>74</v>
      </c>
      <c r="R937" t="s">
        <v>74</v>
      </c>
      <c r="S937" t="s">
        <v>74</v>
      </c>
      <c r="T937" t="s">
        <v>13026</v>
      </c>
      <c r="U937" t="s">
        <v>13027</v>
      </c>
      <c r="V937" t="s">
        <v>13028</v>
      </c>
      <c r="W937" t="s">
        <v>13029</v>
      </c>
      <c r="X937" t="s">
        <v>13030</v>
      </c>
      <c r="Y937" t="s">
        <v>13031</v>
      </c>
      <c r="Z937" t="s">
        <v>13032</v>
      </c>
      <c r="AA937" t="s">
        <v>13033</v>
      </c>
      <c r="AB937" t="s">
        <v>13034</v>
      </c>
      <c r="AC937" t="s">
        <v>74</v>
      </c>
      <c r="AD937" t="s">
        <v>74</v>
      </c>
      <c r="AE937" t="s">
        <v>74</v>
      </c>
      <c r="AF937" t="s">
        <v>74</v>
      </c>
      <c r="AG937">
        <v>57</v>
      </c>
      <c r="AH937">
        <v>131</v>
      </c>
      <c r="AI937">
        <v>139</v>
      </c>
      <c r="AJ937">
        <v>0</v>
      </c>
      <c r="AK937">
        <v>11</v>
      </c>
      <c r="AL937" t="s">
        <v>539</v>
      </c>
      <c r="AM937" t="s">
        <v>540</v>
      </c>
      <c r="AN937" t="s">
        <v>541</v>
      </c>
      <c r="AO937" t="s">
        <v>4218</v>
      </c>
      <c r="AP937" t="s">
        <v>4219</v>
      </c>
      <c r="AQ937" t="s">
        <v>74</v>
      </c>
      <c r="AR937" t="s">
        <v>4220</v>
      </c>
      <c r="AS937" t="s">
        <v>4221</v>
      </c>
      <c r="AT937" t="s">
        <v>13020</v>
      </c>
      <c r="AU937">
        <v>2003</v>
      </c>
      <c r="AV937">
        <v>108</v>
      </c>
      <c r="AW937" t="s">
        <v>12803</v>
      </c>
      <c r="AX937" t="s">
        <v>74</v>
      </c>
      <c r="AY937" t="s">
        <v>74</v>
      </c>
      <c r="AZ937" t="s">
        <v>74</v>
      </c>
      <c r="BA937" t="s">
        <v>74</v>
      </c>
      <c r="BB937" t="s">
        <v>74</v>
      </c>
      <c r="BC937" t="s">
        <v>74</v>
      </c>
      <c r="BD937">
        <v>1016</v>
      </c>
      <c r="BE937" t="s">
        <v>13035</v>
      </c>
      <c r="BF937" t="str">
        <f>HYPERLINK("http://dx.doi.org/10.1029/2001JA009165","http://dx.doi.org/10.1029/2001JA009165")</f>
        <v>http://dx.doi.org/10.1029/2001JA009165</v>
      </c>
      <c r="BG937" t="s">
        <v>74</v>
      </c>
      <c r="BH937" t="s">
        <v>74</v>
      </c>
      <c r="BI937">
        <v>13</v>
      </c>
      <c r="BJ937" t="s">
        <v>1333</v>
      </c>
      <c r="BK937" t="s">
        <v>94</v>
      </c>
      <c r="BL937" t="s">
        <v>1333</v>
      </c>
      <c r="BM937" t="s">
        <v>13036</v>
      </c>
      <c r="BN937" t="s">
        <v>74</v>
      </c>
      <c r="BO937" t="s">
        <v>96</v>
      </c>
      <c r="BP937" t="s">
        <v>74</v>
      </c>
      <c r="BQ937" t="s">
        <v>74</v>
      </c>
      <c r="BR937" t="s">
        <v>97</v>
      </c>
      <c r="BS937" t="s">
        <v>13037</v>
      </c>
      <c r="BT937" t="str">
        <f>HYPERLINK("https%3A%2F%2Fwww.webofscience.com%2Fwos%2Fwoscc%2Ffull-record%2FWOS:000181800000001","View Full Record in Web of Science")</f>
        <v>View Full Record in Web of Science</v>
      </c>
    </row>
    <row r="938" spans="1:72" x14ac:dyDescent="0.15">
      <c r="A938" t="s">
        <v>72</v>
      </c>
      <c r="B938" t="s">
        <v>13038</v>
      </c>
      <c r="C938" t="s">
        <v>74</v>
      </c>
      <c r="D938" t="s">
        <v>74</v>
      </c>
      <c r="E938" t="s">
        <v>74</v>
      </c>
      <c r="F938" t="s">
        <v>13038</v>
      </c>
      <c r="G938" t="s">
        <v>74</v>
      </c>
      <c r="H938" t="s">
        <v>74</v>
      </c>
      <c r="I938" t="s">
        <v>13039</v>
      </c>
      <c r="J938" t="s">
        <v>2741</v>
      </c>
      <c r="K938" t="s">
        <v>74</v>
      </c>
      <c r="L938" t="s">
        <v>74</v>
      </c>
      <c r="M938" t="s">
        <v>77</v>
      </c>
      <c r="N938" t="s">
        <v>78</v>
      </c>
      <c r="O938" t="s">
        <v>74</v>
      </c>
      <c r="P938" t="s">
        <v>74</v>
      </c>
      <c r="Q938" t="s">
        <v>74</v>
      </c>
      <c r="R938" t="s">
        <v>74</v>
      </c>
      <c r="S938" t="s">
        <v>74</v>
      </c>
      <c r="T938" t="s">
        <v>74</v>
      </c>
      <c r="U938" t="s">
        <v>13040</v>
      </c>
      <c r="V938" t="s">
        <v>13041</v>
      </c>
      <c r="W938" t="s">
        <v>13042</v>
      </c>
      <c r="X938" t="s">
        <v>13043</v>
      </c>
      <c r="Y938" t="s">
        <v>13044</v>
      </c>
      <c r="Z938" t="s">
        <v>74</v>
      </c>
      <c r="AA938" t="s">
        <v>13045</v>
      </c>
      <c r="AB938" t="s">
        <v>13046</v>
      </c>
      <c r="AC938" t="s">
        <v>74</v>
      </c>
      <c r="AD938" t="s">
        <v>74</v>
      </c>
      <c r="AE938" t="s">
        <v>74</v>
      </c>
      <c r="AF938" t="s">
        <v>74</v>
      </c>
      <c r="AG938">
        <v>30</v>
      </c>
      <c r="AH938">
        <v>133</v>
      </c>
      <c r="AI938">
        <v>145</v>
      </c>
      <c r="AJ938">
        <v>1</v>
      </c>
      <c r="AK938">
        <v>38</v>
      </c>
      <c r="AL938" t="s">
        <v>2750</v>
      </c>
      <c r="AM938" t="s">
        <v>540</v>
      </c>
      <c r="AN938" t="s">
        <v>2751</v>
      </c>
      <c r="AO938" t="s">
        <v>2752</v>
      </c>
      <c r="AP938" t="s">
        <v>2753</v>
      </c>
      <c r="AQ938" t="s">
        <v>74</v>
      </c>
      <c r="AR938" t="s">
        <v>2741</v>
      </c>
      <c r="AS938" t="s">
        <v>2754</v>
      </c>
      <c r="AT938" t="s">
        <v>13047</v>
      </c>
      <c r="AU938">
        <v>2003</v>
      </c>
      <c r="AV938">
        <v>299</v>
      </c>
      <c r="AW938">
        <v>5604</v>
      </c>
      <c r="AX938" t="s">
        <v>74</v>
      </c>
      <c r="AY938" t="s">
        <v>74</v>
      </c>
      <c r="AZ938" t="s">
        <v>74</v>
      </c>
      <c r="BA938" t="s">
        <v>74</v>
      </c>
      <c r="BB938">
        <v>235</v>
      </c>
      <c r="BC938">
        <v>239</v>
      </c>
      <c r="BD938" t="s">
        <v>74</v>
      </c>
      <c r="BE938" t="s">
        <v>13048</v>
      </c>
      <c r="BF938" t="str">
        <f>HYPERLINK("http://dx.doi.org/10.1126/science.1077429","http://dx.doi.org/10.1126/science.1077429")</f>
        <v>http://dx.doi.org/10.1126/science.1077429</v>
      </c>
      <c r="BG938" t="s">
        <v>74</v>
      </c>
      <c r="BH938" t="s">
        <v>74</v>
      </c>
      <c r="BI938">
        <v>5</v>
      </c>
      <c r="BJ938" t="s">
        <v>971</v>
      </c>
      <c r="BK938" t="s">
        <v>94</v>
      </c>
      <c r="BL938" t="s">
        <v>972</v>
      </c>
      <c r="BM938" t="s">
        <v>13049</v>
      </c>
      <c r="BN938">
        <v>12522246</v>
      </c>
      <c r="BO938" t="s">
        <v>74</v>
      </c>
      <c r="BP938" t="s">
        <v>74</v>
      </c>
      <c r="BQ938" t="s">
        <v>74</v>
      </c>
      <c r="BR938" t="s">
        <v>97</v>
      </c>
      <c r="BS938" t="s">
        <v>13050</v>
      </c>
      <c r="BT938" t="str">
        <f>HYPERLINK("https%3A%2F%2Fwww.webofscience.com%2Fwos%2Fwoscc%2Ffull-record%2FWOS:000180284000034","View Full Record in Web of Science")</f>
        <v>View Full Record in Web of Science</v>
      </c>
    </row>
    <row r="939" spans="1:72" x14ac:dyDescent="0.15">
      <c r="A939" t="s">
        <v>72</v>
      </c>
      <c r="B939" t="s">
        <v>13051</v>
      </c>
      <c r="C939" t="s">
        <v>74</v>
      </c>
      <c r="D939" t="s">
        <v>74</v>
      </c>
      <c r="E939" t="s">
        <v>74</v>
      </c>
      <c r="F939" t="s">
        <v>13051</v>
      </c>
      <c r="G939" t="s">
        <v>74</v>
      </c>
      <c r="H939" t="s">
        <v>74</v>
      </c>
      <c r="I939" t="s">
        <v>13052</v>
      </c>
      <c r="J939" t="s">
        <v>4474</v>
      </c>
      <c r="K939" t="s">
        <v>74</v>
      </c>
      <c r="L939" t="s">
        <v>74</v>
      </c>
      <c r="M939" t="s">
        <v>77</v>
      </c>
      <c r="N939" t="s">
        <v>556</v>
      </c>
      <c r="O939" t="s">
        <v>74</v>
      </c>
      <c r="P939" t="s">
        <v>74</v>
      </c>
      <c r="Q939" t="s">
        <v>74</v>
      </c>
      <c r="R939" t="s">
        <v>74</v>
      </c>
      <c r="S939" t="s">
        <v>74</v>
      </c>
      <c r="T939" t="s">
        <v>74</v>
      </c>
      <c r="U939" t="s">
        <v>13053</v>
      </c>
      <c r="V939" t="s">
        <v>13054</v>
      </c>
      <c r="W939" t="s">
        <v>13055</v>
      </c>
      <c r="X939" t="s">
        <v>13056</v>
      </c>
      <c r="Y939" t="s">
        <v>13057</v>
      </c>
      <c r="Z939" t="s">
        <v>13058</v>
      </c>
      <c r="AA939" t="s">
        <v>13059</v>
      </c>
      <c r="AB939" t="s">
        <v>13060</v>
      </c>
      <c r="AC939" t="s">
        <v>74</v>
      </c>
      <c r="AD939" t="s">
        <v>74</v>
      </c>
      <c r="AE939" t="s">
        <v>74</v>
      </c>
      <c r="AF939" t="s">
        <v>74</v>
      </c>
      <c r="AG939">
        <v>110</v>
      </c>
      <c r="AH939">
        <v>215</v>
      </c>
      <c r="AI939">
        <v>227</v>
      </c>
      <c r="AJ939">
        <v>0</v>
      </c>
      <c r="AK939">
        <v>25</v>
      </c>
      <c r="AL939" t="s">
        <v>6072</v>
      </c>
      <c r="AM939" t="s">
        <v>6073</v>
      </c>
      <c r="AN939" t="s">
        <v>6074</v>
      </c>
      <c r="AO939" t="s">
        <v>6075</v>
      </c>
      <c r="AP939" t="s">
        <v>4480</v>
      </c>
      <c r="AQ939" t="s">
        <v>74</v>
      </c>
      <c r="AR939" t="s">
        <v>4481</v>
      </c>
      <c r="AS939" t="s">
        <v>4482</v>
      </c>
      <c r="AT939" t="s">
        <v>13061</v>
      </c>
      <c r="AU939">
        <v>2003</v>
      </c>
      <c r="AV939">
        <v>3</v>
      </c>
      <c r="AW939" t="s">
        <v>74</v>
      </c>
      <c r="AX939" t="s">
        <v>74</v>
      </c>
      <c r="AY939" t="s">
        <v>74</v>
      </c>
      <c r="AZ939" t="s">
        <v>74</v>
      </c>
      <c r="BA939" t="s">
        <v>74</v>
      </c>
      <c r="BB939">
        <v>1</v>
      </c>
      <c r="BC939">
        <v>27</v>
      </c>
      <c r="BD939" t="s">
        <v>74</v>
      </c>
      <c r="BE939" t="s">
        <v>13062</v>
      </c>
      <c r="BF939" t="str">
        <f>HYPERLINK("http://dx.doi.org/10.5194/acp-3-1-2003","http://dx.doi.org/10.5194/acp-3-1-2003")</f>
        <v>http://dx.doi.org/10.5194/acp-3-1-2003</v>
      </c>
      <c r="BG939" t="s">
        <v>74</v>
      </c>
      <c r="BH939" t="s">
        <v>74</v>
      </c>
      <c r="BI939">
        <v>27</v>
      </c>
      <c r="BJ939" t="s">
        <v>4485</v>
      </c>
      <c r="BK939" t="s">
        <v>94</v>
      </c>
      <c r="BL939" t="s">
        <v>4486</v>
      </c>
      <c r="BM939" t="s">
        <v>13063</v>
      </c>
      <c r="BN939" t="s">
        <v>74</v>
      </c>
      <c r="BO939" t="s">
        <v>13064</v>
      </c>
      <c r="BP939" t="s">
        <v>74</v>
      </c>
      <c r="BQ939" t="s">
        <v>74</v>
      </c>
      <c r="BR939" t="s">
        <v>97</v>
      </c>
      <c r="BS939" t="s">
        <v>13065</v>
      </c>
      <c r="BT939" t="str">
        <f>HYPERLINK("https%3A%2F%2Fwww.webofscience.com%2Fwos%2Fwoscc%2Ffull-record%2FWOS:000180329600001","View Full Record in Web of Science")</f>
        <v>View Full Record in Web of Science</v>
      </c>
    </row>
    <row r="940" spans="1:72" x14ac:dyDescent="0.15">
      <c r="A940" t="s">
        <v>72</v>
      </c>
      <c r="B940" t="s">
        <v>13066</v>
      </c>
      <c r="C940" t="s">
        <v>74</v>
      </c>
      <c r="D940" t="s">
        <v>74</v>
      </c>
      <c r="E940" t="s">
        <v>74</v>
      </c>
      <c r="F940" t="s">
        <v>13066</v>
      </c>
      <c r="G940" t="s">
        <v>74</v>
      </c>
      <c r="H940" t="s">
        <v>74</v>
      </c>
      <c r="I940" t="s">
        <v>13067</v>
      </c>
      <c r="J940" t="s">
        <v>9149</v>
      </c>
      <c r="K940" t="s">
        <v>74</v>
      </c>
      <c r="L940" t="s">
        <v>74</v>
      </c>
      <c r="M940" t="s">
        <v>77</v>
      </c>
      <c r="N940" t="s">
        <v>78</v>
      </c>
      <c r="O940" t="s">
        <v>74</v>
      </c>
      <c r="P940" t="s">
        <v>74</v>
      </c>
      <c r="Q940" t="s">
        <v>74</v>
      </c>
      <c r="R940" t="s">
        <v>74</v>
      </c>
      <c r="S940" t="s">
        <v>74</v>
      </c>
      <c r="T940" t="s">
        <v>74</v>
      </c>
      <c r="U940" t="s">
        <v>13068</v>
      </c>
      <c r="V940" t="s">
        <v>13069</v>
      </c>
      <c r="W940" t="s">
        <v>13070</v>
      </c>
      <c r="X940" t="s">
        <v>13071</v>
      </c>
      <c r="Y940" t="s">
        <v>13072</v>
      </c>
      <c r="Z940" t="s">
        <v>74</v>
      </c>
      <c r="AA940" t="s">
        <v>74</v>
      </c>
      <c r="AB940" t="s">
        <v>13073</v>
      </c>
      <c r="AC940" t="s">
        <v>74</v>
      </c>
      <c r="AD940" t="s">
        <v>74</v>
      </c>
      <c r="AE940" t="s">
        <v>74</v>
      </c>
      <c r="AF940" t="s">
        <v>74</v>
      </c>
      <c r="AG940">
        <v>31</v>
      </c>
      <c r="AH940">
        <v>290</v>
      </c>
      <c r="AI940">
        <v>362</v>
      </c>
      <c r="AJ940">
        <v>1</v>
      </c>
      <c r="AK940">
        <v>95</v>
      </c>
      <c r="AL940" t="s">
        <v>9157</v>
      </c>
      <c r="AM940" t="s">
        <v>964</v>
      </c>
      <c r="AN940" t="s">
        <v>9158</v>
      </c>
      <c r="AO940" t="s">
        <v>9159</v>
      </c>
      <c r="AP940" t="s">
        <v>74</v>
      </c>
      <c r="AQ940" t="s">
        <v>74</v>
      </c>
      <c r="AR940" t="s">
        <v>9149</v>
      </c>
      <c r="AS940" t="s">
        <v>9161</v>
      </c>
      <c r="AT940" t="s">
        <v>13061</v>
      </c>
      <c r="AU940">
        <v>2003</v>
      </c>
      <c r="AV940">
        <v>421</v>
      </c>
      <c r="AW940">
        <v>6919</v>
      </c>
      <c r="AX940" t="s">
        <v>74</v>
      </c>
      <c r="AY940" t="s">
        <v>74</v>
      </c>
      <c r="AZ940" t="s">
        <v>74</v>
      </c>
      <c r="BA940" t="s">
        <v>74</v>
      </c>
      <c r="BB940">
        <v>152</v>
      </c>
      <c r="BC940">
        <v>155</v>
      </c>
      <c r="BD940" t="s">
        <v>74</v>
      </c>
      <c r="BE940" t="s">
        <v>13074</v>
      </c>
      <c r="BF940" t="str">
        <f>HYPERLINK("http://dx.doi.org/10.1038/nature01297","http://dx.doi.org/10.1038/nature01297")</f>
        <v>http://dx.doi.org/10.1038/nature01297</v>
      </c>
      <c r="BG940" t="s">
        <v>74</v>
      </c>
      <c r="BH940" t="s">
        <v>74</v>
      </c>
      <c r="BI940">
        <v>4</v>
      </c>
      <c r="BJ940" t="s">
        <v>971</v>
      </c>
      <c r="BK940" t="s">
        <v>94</v>
      </c>
      <c r="BL940" t="s">
        <v>972</v>
      </c>
      <c r="BM940" t="s">
        <v>13075</v>
      </c>
      <c r="BN940">
        <v>12520298</v>
      </c>
      <c r="BO940" t="s">
        <v>74</v>
      </c>
      <c r="BP940" t="s">
        <v>74</v>
      </c>
      <c r="BQ940" t="s">
        <v>74</v>
      </c>
      <c r="BR940" t="s">
        <v>97</v>
      </c>
      <c r="BS940" t="s">
        <v>13076</v>
      </c>
      <c r="BT940" t="str">
        <f>HYPERLINK("https%3A%2F%2Fwww.webofscience.com%2Fwos%2Fwoscc%2Ffull-record%2FWOS:000180267200036","View Full Record in Web of Science")</f>
        <v>View Full Record in Web of Science</v>
      </c>
    </row>
    <row r="941" spans="1:72" x14ac:dyDescent="0.15">
      <c r="A941" t="s">
        <v>72</v>
      </c>
      <c r="B941" t="s">
        <v>13077</v>
      </c>
      <c r="C941" t="s">
        <v>74</v>
      </c>
      <c r="D941" t="s">
        <v>74</v>
      </c>
      <c r="E941" t="s">
        <v>74</v>
      </c>
      <c r="F941" t="s">
        <v>13077</v>
      </c>
      <c r="G941" t="s">
        <v>74</v>
      </c>
      <c r="H941" t="s">
        <v>74</v>
      </c>
      <c r="I941" t="s">
        <v>13078</v>
      </c>
      <c r="J941" t="s">
        <v>613</v>
      </c>
      <c r="K941" t="s">
        <v>74</v>
      </c>
      <c r="L941" t="s">
        <v>74</v>
      </c>
      <c r="M941" t="s">
        <v>77</v>
      </c>
      <c r="N941" t="s">
        <v>78</v>
      </c>
      <c r="O941" t="s">
        <v>74</v>
      </c>
      <c r="P941" t="s">
        <v>74</v>
      </c>
      <c r="Q941" t="s">
        <v>74</v>
      </c>
      <c r="R941" t="s">
        <v>74</v>
      </c>
      <c r="S941" t="s">
        <v>74</v>
      </c>
      <c r="T941" t="s">
        <v>13079</v>
      </c>
      <c r="U941" t="s">
        <v>13080</v>
      </c>
      <c r="V941" t="s">
        <v>13081</v>
      </c>
      <c r="W941" t="s">
        <v>13082</v>
      </c>
      <c r="X941" t="s">
        <v>13083</v>
      </c>
      <c r="Y941" t="s">
        <v>13084</v>
      </c>
      <c r="Z941" t="s">
        <v>74</v>
      </c>
      <c r="AA941" t="s">
        <v>13085</v>
      </c>
      <c r="AB941" t="s">
        <v>13086</v>
      </c>
      <c r="AC941" t="s">
        <v>74</v>
      </c>
      <c r="AD941" t="s">
        <v>74</v>
      </c>
      <c r="AE941" t="s">
        <v>74</v>
      </c>
      <c r="AF941" t="s">
        <v>74</v>
      </c>
      <c r="AG941">
        <v>51</v>
      </c>
      <c r="AH941">
        <v>129</v>
      </c>
      <c r="AI941">
        <v>143</v>
      </c>
      <c r="AJ941">
        <v>3</v>
      </c>
      <c r="AK941">
        <v>45</v>
      </c>
      <c r="AL941" t="s">
        <v>539</v>
      </c>
      <c r="AM941" t="s">
        <v>540</v>
      </c>
      <c r="AN941" t="s">
        <v>541</v>
      </c>
      <c r="AO941" t="s">
        <v>621</v>
      </c>
      <c r="AP941" t="s">
        <v>74</v>
      </c>
      <c r="AQ941" t="s">
        <v>74</v>
      </c>
      <c r="AR941" t="s">
        <v>613</v>
      </c>
      <c r="AS941" t="s">
        <v>623</v>
      </c>
      <c r="AT941" t="s">
        <v>13061</v>
      </c>
      <c r="AU941">
        <v>2003</v>
      </c>
      <c r="AV941">
        <v>18</v>
      </c>
      <c r="AW941">
        <v>1</v>
      </c>
      <c r="AX941" t="s">
        <v>74</v>
      </c>
      <c r="AY941" t="s">
        <v>74</v>
      </c>
      <c r="AZ941" t="s">
        <v>74</v>
      </c>
      <c r="BA941" t="s">
        <v>74</v>
      </c>
      <c r="BB941" t="s">
        <v>74</v>
      </c>
      <c r="BC941" t="s">
        <v>74</v>
      </c>
      <c r="BD941">
        <v>1001</v>
      </c>
      <c r="BE941" t="s">
        <v>13087</v>
      </c>
      <c r="BF941" t="str">
        <f>HYPERLINK("http://dx.doi.org/10.1029/2001PA000627","http://dx.doi.org/10.1029/2001PA000627")</f>
        <v>http://dx.doi.org/10.1029/2001PA000627</v>
      </c>
      <c r="BG941" t="s">
        <v>74</v>
      </c>
      <c r="BH941" t="s">
        <v>74</v>
      </c>
      <c r="BI941">
        <v>8</v>
      </c>
      <c r="BJ941" t="s">
        <v>625</v>
      </c>
      <c r="BK941" t="s">
        <v>94</v>
      </c>
      <c r="BL941" t="s">
        <v>626</v>
      </c>
      <c r="BM941" t="s">
        <v>13088</v>
      </c>
      <c r="BN941" t="s">
        <v>74</v>
      </c>
      <c r="BO941" t="s">
        <v>74</v>
      </c>
      <c r="BP941" t="s">
        <v>74</v>
      </c>
      <c r="BQ941" t="s">
        <v>74</v>
      </c>
      <c r="BR941" t="s">
        <v>97</v>
      </c>
      <c r="BS941" t="s">
        <v>13089</v>
      </c>
      <c r="BT941" t="str">
        <f>HYPERLINK("https%3A%2F%2Fwww.webofscience.com%2Fwos%2Fwoscc%2Ffull-record%2FWOS:000181564100001","View Full Record in Web of Science")</f>
        <v>View Full Record in Web of Science</v>
      </c>
    </row>
    <row r="942" spans="1:72" x14ac:dyDescent="0.15">
      <c r="A942" t="s">
        <v>72</v>
      </c>
      <c r="B942" t="s">
        <v>13090</v>
      </c>
      <c r="C942" t="s">
        <v>74</v>
      </c>
      <c r="D942" t="s">
        <v>74</v>
      </c>
      <c r="E942" t="s">
        <v>74</v>
      </c>
      <c r="F942" t="s">
        <v>13090</v>
      </c>
      <c r="G942" t="s">
        <v>74</v>
      </c>
      <c r="H942" t="s">
        <v>74</v>
      </c>
      <c r="I942" t="s">
        <v>13091</v>
      </c>
      <c r="J942" t="s">
        <v>4531</v>
      </c>
      <c r="K942" t="s">
        <v>74</v>
      </c>
      <c r="L942" t="s">
        <v>74</v>
      </c>
      <c r="M942" t="s">
        <v>77</v>
      </c>
      <c r="N942" t="s">
        <v>78</v>
      </c>
      <c r="O942" t="s">
        <v>74</v>
      </c>
      <c r="P942" t="s">
        <v>74</v>
      </c>
      <c r="Q942" t="s">
        <v>74</v>
      </c>
      <c r="R942" t="s">
        <v>74</v>
      </c>
      <c r="S942" t="s">
        <v>74</v>
      </c>
      <c r="T942" t="s">
        <v>74</v>
      </c>
      <c r="U942" t="s">
        <v>13092</v>
      </c>
      <c r="V942" t="s">
        <v>13093</v>
      </c>
      <c r="W942" t="s">
        <v>13094</v>
      </c>
      <c r="X942" t="s">
        <v>13095</v>
      </c>
      <c r="Y942" t="s">
        <v>13096</v>
      </c>
      <c r="Z942" t="s">
        <v>74</v>
      </c>
      <c r="AA942" t="s">
        <v>74</v>
      </c>
      <c r="AB942" t="s">
        <v>13097</v>
      </c>
      <c r="AC942" t="s">
        <v>74</v>
      </c>
      <c r="AD942" t="s">
        <v>74</v>
      </c>
      <c r="AE942" t="s">
        <v>74</v>
      </c>
      <c r="AF942" t="s">
        <v>74</v>
      </c>
      <c r="AG942">
        <v>28</v>
      </c>
      <c r="AH942">
        <v>56</v>
      </c>
      <c r="AI942">
        <v>70</v>
      </c>
      <c r="AJ942">
        <v>0</v>
      </c>
      <c r="AK942">
        <v>23</v>
      </c>
      <c r="AL942" t="s">
        <v>4537</v>
      </c>
      <c r="AM942" t="s">
        <v>540</v>
      </c>
      <c r="AN942" t="s">
        <v>4538</v>
      </c>
      <c r="AO942" t="s">
        <v>4539</v>
      </c>
      <c r="AP942" t="s">
        <v>74</v>
      </c>
      <c r="AQ942" t="s">
        <v>74</v>
      </c>
      <c r="AR942" t="s">
        <v>4540</v>
      </c>
      <c r="AS942" t="s">
        <v>4541</v>
      </c>
      <c r="AT942" t="s">
        <v>13098</v>
      </c>
      <c r="AU942">
        <v>2003</v>
      </c>
      <c r="AV942">
        <v>100</v>
      </c>
      <c r="AW942">
        <v>1</v>
      </c>
      <c r="AX942" t="s">
        <v>74</v>
      </c>
      <c r="AY942" t="s">
        <v>74</v>
      </c>
      <c r="AZ942" t="s">
        <v>74</v>
      </c>
      <c r="BA942" t="s">
        <v>74</v>
      </c>
      <c r="BB942">
        <v>26</v>
      </c>
      <c r="BC942">
        <v>31</v>
      </c>
      <c r="BD942" t="s">
        <v>74</v>
      </c>
      <c r="BE942" t="s">
        <v>13099</v>
      </c>
      <c r="BF942" t="str">
        <f>HYPERLINK("http://dx.doi.org/10.1073/pnas.222680999","http://dx.doi.org/10.1073/pnas.222680999")</f>
        <v>http://dx.doi.org/10.1073/pnas.222680999</v>
      </c>
      <c r="BG942" t="s">
        <v>74</v>
      </c>
      <c r="BH942" t="s">
        <v>74</v>
      </c>
      <c r="BI942">
        <v>6</v>
      </c>
      <c r="BJ942" t="s">
        <v>971</v>
      </c>
      <c r="BK942" t="s">
        <v>94</v>
      </c>
      <c r="BL942" t="s">
        <v>972</v>
      </c>
      <c r="BM942" t="s">
        <v>13100</v>
      </c>
      <c r="BN942">
        <v>12518052</v>
      </c>
      <c r="BO942" t="s">
        <v>2565</v>
      </c>
      <c r="BP942" t="s">
        <v>74</v>
      </c>
      <c r="BQ942" t="s">
        <v>74</v>
      </c>
      <c r="BR942" t="s">
        <v>97</v>
      </c>
      <c r="BS942" t="s">
        <v>13101</v>
      </c>
      <c r="BT942" t="str">
        <f>HYPERLINK("https%3A%2F%2Fwww.webofscience.com%2Fwos%2Fwoscc%2Ffull-record%2FWOS:000180307100007","View Full Record in Web of Science")</f>
        <v>View Full Record in Web of Science</v>
      </c>
    </row>
    <row r="943" spans="1:72" x14ac:dyDescent="0.15">
      <c r="A943" t="s">
        <v>72</v>
      </c>
      <c r="B943" t="s">
        <v>13102</v>
      </c>
      <c r="C943" t="s">
        <v>74</v>
      </c>
      <c r="D943" t="s">
        <v>74</v>
      </c>
      <c r="E943" t="s">
        <v>74</v>
      </c>
      <c r="F943" t="s">
        <v>13102</v>
      </c>
      <c r="G943" t="s">
        <v>74</v>
      </c>
      <c r="H943" t="s">
        <v>74</v>
      </c>
      <c r="I943" t="s">
        <v>13103</v>
      </c>
      <c r="J943" t="s">
        <v>665</v>
      </c>
      <c r="K943" t="s">
        <v>74</v>
      </c>
      <c r="L943" t="s">
        <v>74</v>
      </c>
      <c r="M943" t="s">
        <v>77</v>
      </c>
      <c r="N943" t="s">
        <v>556</v>
      </c>
      <c r="O943" t="s">
        <v>74</v>
      </c>
      <c r="P943" t="s">
        <v>74</v>
      </c>
      <c r="Q943" t="s">
        <v>74</v>
      </c>
      <c r="R943" t="s">
        <v>74</v>
      </c>
      <c r="S943" t="s">
        <v>74</v>
      </c>
      <c r="T943" t="s">
        <v>13104</v>
      </c>
      <c r="U943" t="s">
        <v>13105</v>
      </c>
      <c r="V943" t="s">
        <v>13106</v>
      </c>
      <c r="W943" t="s">
        <v>13107</v>
      </c>
      <c r="X943" t="s">
        <v>9767</v>
      </c>
      <c r="Y943" t="s">
        <v>13108</v>
      </c>
      <c r="Z943" t="s">
        <v>12539</v>
      </c>
      <c r="AA943" t="s">
        <v>74</v>
      </c>
      <c r="AB943" t="s">
        <v>13109</v>
      </c>
      <c r="AC943" t="s">
        <v>74</v>
      </c>
      <c r="AD943" t="s">
        <v>74</v>
      </c>
      <c r="AE943" t="s">
        <v>74</v>
      </c>
      <c r="AF943" t="s">
        <v>74</v>
      </c>
      <c r="AG943">
        <v>102</v>
      </c>
      <c r="AH943">
        <v>94</v>
      </c>
      <c r="AI943">
        <v>99</v>
      </c>
      <c r="AJ943">
        <v>1</v>
      </c>
      <c r="AK943">
        <v>17</v>
      </c>
      <c r="AL943" t="s">
        <v>539</v>
      </c>
      <c r="AM943" t="s">
        <v>540</v>
      </c>
      <c r="AN943" t="s">
        <v>541</v>
      </c>
      <c r="AO943" t="s">
        <v>672</v>
      </c>
      <c r="AP943" t="s">
        <v>673</v>
      </c>
      <c r="AQ943" t="s">
        <v>74</v>
      </c>
      <c r="AR943" t="s">
        <v>674</v>
      </c>
      <c r="AS943" t="s">
        <v>675</v>
      </c>
      <c r="AT943" t="s">
        <v>13110</v>
      </c>
      <c r="AU943">
        <v>2003</v>
      </c>
      <c r="AV943">
        <v>108</v>
      </c>
      <c r="AW943" t="s">
        <v>8763</v>
      </c>
      <c r="AX943" t="s">
        <v>74</v>
      </c>
      <c r="AY943" t="s">
        <v>74</v>
      </c>
      <c r="AZ943" t="s">
        <v>74</v>
      </c>
      <c r="BA943" t="s">
        <v>74</v>
      </c>
      <c r="BB943" t="s">
        <v>74</v>
      </c>
      <c r="BC943" t="s">
        <v>74</v>
      </c>
      <c r="BD943">
        <v>8078</v>
      </c>
      <c r="BE943" t="s">
        <v>13111</v>
      </c>
      <c r="BF943" t="str">
        <f>HYPERLINK("http://dx.doi.org/10.1029/2000JC000542","http://dx.doi.org/10.1029/2000JC000542")</f>
        <v>http://dx.doi.org/10.1029/2000JC000542</v>
      </c>
      <c r="BG943" t="s">
        <v>74</v>
      </c>
      <c r="BH943" t="s">
        <v>74</v>
      </c>
      <c r="BI943">
        <v>30</v>
      </c>
      <c r="BJ943" t="s">
        <v>678</v>
      </c>
      <c r="BK943" t="s">
        <v>94</v>
      </c>
      <c r="BL943" t="s">
        <v>678</v>
      </c>
      <c r="BM943" t="s">
        <v>13112</v>
      </c>
      <c r="BN943" t="s">
        <v>74</v>
      </c>
      <c r="BO943" t="s">
        <v>96</v>
      </c>
      <c r="BP943" t="s">
        <v>74</v>
      </c>
      <c r="BQ943" t="s">
        <v>74</v>
      </c>
      <c r="BR943" t="s">
        <v>97</v>
      </c>
      <c r="BS943" t="s">
        <v>13113</v>
      </c>
      <c r="BT943" t="str">
        <f>HYPERLINK("https%3A%2F%2Fwww.webofscience.com%2Fwos%2Fwoscc%2Ffull-record%2FWOS:000181501300002","View Full Record in Web of Science")</f>
        <v>View Full Record in Web of Science</v>
      </c>
    </row>
    <row r="944" spans="1:72" x14ac:dyDescent="0.15">
      <c r="A944" t="s">
        <v>72</v>
      </c>
      <c r="B944" t="s">
        <v>13114</v>
      </c>
      <c r="C944" t="s">
        <v>74</v>
      </c>
      <c r="D944" t="s">
        <v>74</v>
      </c>
      <c r="E944" t="s">
        <v>74</v>
      </c>
      <c r="F944" t="s">
        <v>13114</v>
      </c>
      <c r="G944" t="s">
        <v>74</v>
      </c>
      <c r="H944" t="s">
        <v>74</v>
      </c>
      <c r="I944" t="s">
        <v>13115</v>
      </c>
      <c r="J944" t="s">
        <v>665</v>
      </c>
      <c r="K944" t="s">
        <v>74</v>
      </c>
      <c r="L944" t="s">
        <v>74</v>
      </c>
      <c r="M944" t="s">
        <v>77</v>
      </c>
      <c r="N944" t="s">
        <v>78</v>
      </c>
      <c r="O944" t="s">
        <v>74</v>
      </c>
      <c r="P944" t="s">
        <v>74</v>
      </c>
      <c r="Q944" t="s">
        <v>74</v>
      </c>
      <c r="R944" t="s">
        <v>74</v>
      </c>
      <c r="S944" t="s">
        <v>74</v>
      </c>
      <c r="T944" t="s">
        <v>13116</v>
      </c>
      <c r="U944" t="s">
        <v>13117</v>
      </c>
      <c r="V944" t="s">
        <v>13118</v>
      </c>
      <c r="W944" t="s">
        <v>13119</v>
      </c>
      <c r="X944" t="s">
        <v>13120</v>
      </c>
      <c r="Y944" t="s">
        <v>13121</v>
      </c>
      <c r="Z944" t="s">
        <v>13122</v>
      </c>
      <c r="AA944" t="s">
        <v>13123</v>
      </c>
      <c r="AB944" t="s">
        <v>13124</v>
      </c>
      <c r="AC944" t="s">
        <v>74</v>
      </c>
      <c r="AD944" t="s">
        <v>74</v>
      </c>
      <c r="AE944" t="s">
        <v>74</v>
      </c>
      <c r="AF944" t="s">
        <v>74</v>
      </c>
      <c r="AG944">
        <v>40</v>
      </c>
      <c r="AH944">
        <v>110</v>
      </c>
      <c r="AI944">
        <v>118</v>
      </c>
      <c r="AJ944">
        <v>2</v>
      </c>
      <c r="AK944">
        <v>27</v>
      </c>
      <c r="AL944" t="s">
        <v>539</v>
      </c>
      <c r="AM944" t="s">
        <v>540</v>
      </c>
      <c r="AN944" t="s">
        <v>541</v>
      </c>
      <c r="AO944" t="s">
        <v>672</v>
      </c>
      <c r="AP944" t="s">
        <v>673</v>
      </c>
      <c r="AQ944" t="s">
        <v>74</v>
      </c>
      <c r="AR944" t="s">
        <v>674</v>
      </c>
      <c r="AS944" t="s">
        <v>675</v>
      </c>
      <c r="AT944" t="s">
        <v>13110</v>
      </c>
      <c r="AU944">
        <v>2003</v>
      </c>
      <c r="AV944">
        <v>108</v>
      </c>
      <c r="AW944" t="s">
        <v>13125</v>
      </c>
      <c r="AX944" t="s">
        <v>74</v>
      </c>
      <c r="AY944" t="s">
        <v>74</v>
      </c>
      <c r="AZ944" t="s">
        <v>74</v>
      </c>
      <c r="BA944" t="s">
        <v>74</v>
      </c>
      <c r="BB944" t="s">
        <v>74</v>
      </c>
      <c r="BC944" t="s">
        <v>74</v>
      </c>
      <c r="BD944">
        <v>3007</v>
      </c>
      <c r="BE944" t="s">
        <v>13126</v>
      </c>
      <c r="BF944" t="str">
        <f>HYPERLINK("http://dx.doi.org/10.1029/2001JC001115","http://dx.doi.org/10.1029/2001JC001115")</f>
        <v>http://dx.doi.org/10.1029/2001JC001115</v>
      </c>
      <c r="BG944" t="s">
        <v>74</v>
      </c>
      <c r="BH944" t="s">
        <v>74</v>
      </c>
      <c r="BI944">
        <v>23</v>
      </c>
      <c r="BJ944" t="s">
        <v>678</v>
      </c>
      <c r="BK944" t="s">
        <v>94</v>
      </c>
      <c r="BL944" t="s">
        <v>678</v>
      </c>
      <c r="BM944" t="s">
        <v>13127</v>
      </c>
      <c r="BN944" t="s">
        <v>74</v>
      </c>
      <c r="BO944" t="s">
        <v>13128</v>
      </c>
      <c r="BP944" t="s">
        <v>74</v>
      </c>
      <c r="BQ944" t="s">
        <v>74</v>
      </c>
      <c r="BR944" t="s">
        <v>97</v>
      </c>
      <c r="BS944" t="s">
        <v>13129</v>
      </c>
      <c r="BT944" t="str">
        <f>HYPERLINK("https%3A%2F%2Fwww.webofscience.com%2Fwos%2Fwoscc%2Ffull-record%2FWOS:000181501000002","View Full Record in Web of Science")</f>
        <v>View Full Record in Web of Science</v>
      </c>
    </row>
    <row r="945" spans="1:72" x14ac:dyDescent="0.15">
      <c r="A945" t="s">
        <v>72</v>
      </c>
      <c r="B945" t="s">
        <v>13130</v>
      </c>
      <c r="C945" t="s">
        <v>74</v>
      </c>
      <c r="D945" t="s">
        <v>74</v>
      </c>
      <c r="E945" t="s">
        <v>74</v>
      </c>
      <c r="F945" t="s">
        <v>13130</v>
      </c>
      <c r="G945" t="s">
        <v>74</v>
      </c>
      <c r="H945" t="s">
        <v>74</v>
      </c>
      <c r="I945" t="s">
        <v>13131</v>
      </c>
      <c r="J945" t="s">
        <v>665</v>
      </c>
      <c r="K945" t="s">
        <v>74</v>
      </c>
      <c r="L945" t="s">
        <v>74</v>
      </c>
      <c r="M945" t="s">
        <v>77</v>
      </c>
      <c r="N945" t="s">
        <v>78</v>
      </c>
      <c r="O945" t="s">
        <v>74</v>
      </c>
      <c r="P945" t="s">
        <v>74</v>
      </c>
      <c r="Q945" t="s">
        <v>74</v>
      </c>
      <c r="R945" t="s">
        <v>74</v>
      </c>
      <c r="S945" t="s">
        <v>74</v>
      </c>
      <c r="T945" t="s">
        <v>74</v>
      </c>
      <c r="U945" t="s">
        <v>13132</v>
      </c>
      <c r="V945" t="s">
        <v>13133</v>
      </c>
      <c r="W945" t="s">
        <v>13134</v>
      </c>
      <c r="X945" t="s">
        <v>13135</v>
      </c>
      <c r="Y945" t="s">
        <v>13136</v>
      </c>
      <c r="Z945" t="s">
        <v>13137</v>
      </c>
      <c r="AA945" t="s">
        <v>74</v>
      </c>
      <c r="AB945" t="s">
        <v>13138</v>
      </c>
      <c r="AC945" t="s">
        <v>74</v>
      </c>
      <c r="AD945" t="s">
        <v>74</v>
      </c>
      <c r="AE945" t="s">
        <v>74</v>
      </c>
      <c r="AF945" t="s">
        <v>74</v>
      </c>
      <c r="AG945">
        <v>29</v>
      </c>
      <c r="AH945">
        <v>16</v>
      </c>
      <c r="AI945">
        <v>18</v>
      </c>
      <c r="AJ945">
        <v>1</v>
      </c>
      <c r="AK945">
        <v>9</v>
      </c>
      <c r="AL945" t="s">
        <v>539</v>
      </c>
      <c r="AM945" t="s">
        <v>540</v>
      </c>
      <c r="AN945" t="s">
        <v>541</v>
      </c>
      <c r="AO945" t="s">
        <v>672</v>
      </c>
      <c r="AP945" t="s">
        <v>673</v>
      </c>
      <c r="AQ945" t="s">
        <v>74</v>
      </c>
      <c r="AR945" t="s">
        <v>674</v>
      </c>
      <c r="AS945" t="s">
        <v>675</v>
      </c>
      <c r="AT945" t="s">
        <v>13110</v>
      </c>
      <c r="AU945">
        <v>2003</v>
      </c>
      <c r="AV945">
        <v>108</v>
      </c>
      <c r="AW945" t="s">
        <v>8763</v>
      </c>
      <c r="AX945" t="s">
        <v>74</v>
      </c>
      <c r="AY945" t="s">
        <v>74</v>
      </c>
      <c r="AZ945" t="s">
        <v>74</v>
      </c>
      <c r="BA945" t="s">
        <v>74</v>
      </c>
      <c r="BB945" t="s">
        <v>74</v>
      </c>
      <c r="BC945" t="s">
        <v>74</v>
      </c>
      <c r="BD945">
        <v>8077</v>
      </c>
      <c r="BE945" t="s">
        <v>13139</v>
      </c>
      <c r="BF945" t="str">
        <f>HYPERLINK("http://dx.doi.org/10.1029/2000JC000406","http://dx.doi.org/10.1029/2000JC000406")</f>
        <v>http://dx.doi.org/10.1029/2000JC000406</v>
      </c>
      <c r="BG945" t="s">
        <v>74</v>
      </c>
      <c r="BH945" t="s">
        <v>74</v>
      </c>
      <c r="BI945">
        <v>10</v>
      </c>
      <c r="BJ945" t="s">
        <v>678</v>
      </c>
      <c r="BK945" t="s">
        <v>94</v>
      </c>
      <c r="BL945" t="s">
        <v>678</v>
      </c>
      <c r="BM945" t="s">
        <v>13112</v>
      </c>
      <c r="BN945" t="s">
        <v>74</v>
      </c>
      <c r="BO945" t="s">
        <v>154</v>
      </c>
      <c r="BP945" t="s">
        <v>74</v>
      </c>
      <c r="BQ945" t="s">
        <v>74</v>
      </c>
      <c r="BR945" t="s">
        <v>97</v>
      </c>
      <c r="BS945" t="s">
        <v>13140</v>
      </c>
      <c r="BT945" t="str">
        <f>HYPERLINK("https%3A%2F%2Fwww.webofscience.com%2Fwos%2Fwoscc%2Ffull-record%2FWOS:000181501300001","View Full Record in Web of Science")</f>
        <v>View Full Record in Web of Science</v>
      </c>
    </row>
    <row r="946" spans="1:72" x14ac:dyDescent="0.15">
      <c r="A946" t="s">
        <v>72</v>
      </c>
      <c r="B946" t="s">
        <v>13141</v>
      </c>
      <c r="C946" t="s">
        <v>74</v>
      </c>
      <c r="D946" t="s">
        <v>74</v>
      </c>
      <c r="E946" t="s">
        <v>74</v>
      </c>
      <c r="F946" t="s">
        <v>13141</v>
      </c>
      <c r="G946" t="s">
        <v>74</v>
      </c>
      <c r="H946" t="s">
        <v>74</v>
      </c>
      <c r="I946" t="s">
        <v>13142</v>
      </c>
      <c r="J946" t="s">
        <v>530</v>
      </c>
      <c r="K946" t="s">
        <v>74</v>
      </c>
      <c r="L946" t="s">
        <v>74</v>
      </c>
      <c r="M946" t="s">
        <v>77</v>
      </c>
      <c r="N946" t="s">
        <v>78</v>
      </c>
      <c r="O946" t="s">
        <v>74</v>
      </c>
      <c r="P946" t="s">
        <v>74</v>
      </c>
      <c r="Q946" t="s">
        <v>74</v>
      </c>
      <c r="R946" t="s">
        <v>74</v>
      </c>
      <c r="S946" t="s">
        <v>74</v>
      </c>
      <c r="T946" t="s">
        <v>74</v>
      </c>
      <c r="U946" t="s">
        <v>13143</v>
      </c>
      <c r="V946" t="s">
        <v>13144</v>
      </c>
      <c r="W946" t="s">
        <v>13145</v>
      </c>
      <c r="X946" t="s">
        <v>13146</v>
      </c>
      <c r="Y946" t="s">
        <v>13147</v>
      </c>
      <c r="Z946" t="s">
        <v>74</v>
      </c>
      <c r="AA946" t="s">
        <v>13148</v>
      </c>
      <c r="AB946" t="s">
        <v>13149</v>
      </c>
      <c r="AC946" t="s">
        <v>74</v>
      </c>
      <c r="AD946" t="s">
        <v>74</v>
      </c>
      <c r="AE946" t="s">
        <v>74</v>
      </c>
      <c r="AF946" t="s">
        <v>74</v>
      </c>
      <c r="AG946">
        <v>27</v>
      </c>
      <c r="AH946">
        <v>51</v>
      </c>
      <c r="AI946">
        <v>55</v>
      </c>
      <c r="AJ946">
        <v>0</v>
      </c>
      <c r="AK946">
        <v>6</v>
      </c>
      <c r="AL946" t="s">
        <v>539</v>
      </c>
      <c r="AM946" t="s">
        <v>540</v>
      </c>
      <c r="AN946" t="s">
        <v>541</v>
      </c>
      <c r="AO946" t="s">
        <v>542</v>
      </c>
      <c r="AP946" t="s">
        <v>74</v>
      </c>
      <c r="AQ946" t="s">
        <v>74</v>
      </c>
      <c r="AR946" t="s">
        <v>544</v>
      </c>
      <c r="AS946" t="s">
        <v>545</v>
      </c>
      <c r="AT946" t="s">
        <v>13150</v>
      </c>
      <c r="AU946">
        <v>2003</v>
      </c>
      <c r="AV946">
        <v>30</v>
      </c>
      <c r="AW946">
        <v>1</v>
      </c>
      <c r="AX946" t="s">
        <v>74</v>
      </c>
      <c r="AY946" t="s">
        <v>74</v>
      </c>
      <c r="AZ946" t="s">
        <v>74</v>
      </c>
      <c r="BA946" t="s">
        <v>74</v>
      </c>
      <c r="BB946" t="s">
        <v>74</v>
      </c>
      <c r="BC946" t="s">
        <v>74</v>
      </c>
      <c r="BD946">
        <v>1006</v>
      </c>
      <c r="BE946" t="s">
        <v>13151</v>
      </c>
      <c r="BF946" t="str">
        <f>HYPERLINK("http://dx.doi.org/10.1029/2002GL015818","http://dx.doi.org/10.1029/2002GL015818")</f>
        <v>http://dx.doi.org/10.1029/2002GL015818</v>
      </c>
      <c r="BG946" t="s">
        <v>74</v>
      </c>
      <c r="BH946" t="s">
        <v>74</v>
      </c>
      <c r="BI946">
        <v>4</v>
      </c>
      <c r="BJ946" t="s">
        <v>548</v>
      </c>
      <c r="BK946" t="s">
        <v>94</v>
      </c>
      <c r="BL946" t="s">
        <v>549</v>
      </c>
      <c r="BM946" t="s">
        <v>13152</v>
      </c>
      <c r="BN946" t="s">
        <v>74</v>
      </c>
      <c r="BO946" t="s">
        <v>96</v>
      </c>
      <c r="BP946" t="s">
        <v>74</v>
      </c>
      <c r="BQ946" t="s">
        <v>74</v>
      </c>
      <c r="BR946" t="s">
        <v>97</v>
      </c>
      <c r="BS946" t="s">
        <v>13153</v>
      </c>
      <c r="BT946" t="str">
        <f>HYPERLINK("https%3A%2F%2Fwww.webofscience.com%2Fwos%2Fwoscc%2Ffull-record%2FWOS:000181495000003","View Full Record in Web of Science")</f>
        <v>View Full Record in Web of Science</v>
      </c>
    </row>
    <row r="947" spans="1:72" x14ac:dyDescent="0.15">
      <c r="A947" t="s">
        <v>72</v>
      </c>
      <c r="B947" t="s">
        <v>13154</v>
      </c>
      <c r="C947" t="s">
        <v>74</v>
      </c>
      <c r="D947" t="s">
        <v>74</v>
      </c>
      <c r="E947" t="s">
        <v>74</v>
      </c>
      <c r="F947" t="s">
        <v>13154</v>
      </c>
      <c r="G947" t="s">
        <v>74</v>
      </c>
      <c r="H947" t="s">
        <v>74</v>
      </c>
      <c r="I947" t="s">
        <v>13155</v>
      </c>
      <c r="J947" t="s">
        <v>2741</v>
      </c>
      <c r="K947" t="s">
        <v>74</v>
      </c>
      <c r="L947" t="s">
        <v>74</v>
      </c>
      <c r="M947" t="s">
        <v>77</v>
      </c>
      <c r="N947" t="s">
        <v>78</v>
      </c>
      <c r="O947" t="s">
        <v>74</v>
      </c>
      <c r="P947" t="s">
        <v>74</v>
      </c>
      <c r="Q947" t="s">
        <v>74</v>
      </c>
      <c r="R947" t="s">
        <v>74</v>
      </c>
      <c r="S947" t="s">
        <v>74</v>
      </c>
      <c r="T947" t="s">
        <v>74</v>
      </c>
      <c r="U947" t="s">
        <v>13156</v>
      </c>
      <c r="V947" t="s">
        <v>13157</v>
      </c>
      <c r="W947" t="s">
        <v>13158</v>
      </c>
      <c r="X947" t="s">
        <v>13159</v>
      </c>
      <c r="Y947" t="s">
        <v>13160</v>
      </c>
      <c r="Z947" t="s">
        <v>74</v>
      </c>
      <c r="AA947" t="s">
        <v>13161</v>
      </c>
      <c r="AB947" t="s">
        <v>13162</v>
      </c>
      <c r="AC947" t="s">
        <v>74</v>
      </c>
      <c r="AD947" t="s">
        <v>74</v>
      </c>
      <c r="AE947" t="s">
        <v>74</v>
      </c>
      <c r="AF947" t="s">
        <v>74</v>
      </c>
      <c r="AG947">
        <v>33</v>
      </c>
      <c r="AH947">
        <v>194</v>
      </c>
      <c r="AI947">
        <v>226</v>
      </c>
      <c r="AJ947">
        <v>1</v>
      </c>
      <c r="AK947">
        <v>36</v>
      </c>
      <c r="AL947" t="s">
        <v>2750</v>
      </c>
      <c r="AM947" t="s">
        <v>540</v>
      </c>
      <c r="AN947" t="s">
        <v>2751</v>
      </c>
      <c r="AO947" t="s">
        <v>2752</v>
      </c>
      <c r="AP947" t="s">
        <v>74</v>
      </c>
      <c r="AQ947" t="s">
        <v>74</v>
      </c>
      <c r="AR947" t="s">
        <v>2741</v>
      </c>
      <c r="AS947" t="s">
        <v>2754</v>
      </c>
      <c r="AT947" t="s">
        <v>13150</v>
      </c>
      <c r="AU947">
        <v>2003</v>
      </c>
      <c r="AV947">
        <v>299</v>
      </c>
      <c r="AW947">
        <v>5603</v>
      </c>
      <c r="AX947" t="s">
        <v>74</v>
      </c>
      <c r="AY947" t="s">
        <v>74</v>
      </c>
      <c r="AZ947" t="s">
        <v>74</v>
      </c>
      <c r="BA947" t="s">
        <v>74</v>
      </c>
      <c r="BB947">
        <v>99</v>
      </c>
      <c r="BC947">
        <v>102</v>
      </c>
      <c r="BD947" t="s">
        <v>74</v>
      </c>
      <c r="BE947" t="s">
        <v>13163</v>
      </c>
      <c r="BF947" t="str">
        <f>HYPERLINK("http://dx.doi.org/10.1126/science.1077998","http://dx.doi.org/10.1126/science.1077998")</f>
        <v>http://dx.doi.org/10.1126/science.1077998</v>
      </c>
      <c r="BG947" t="s">
        <v>74</v>
      </c>
      <c r="BH947" t="s">
        <v>74</v>
      </c>
      <c r="BI947">
        <v>4</v>
      </c>
      <c r="BJ947" t="s">
        <v>971</v>
      </c>
      <c r="BK947" t="s">
        <v>94</v>
      </c>
      <c r="BL947" t="s">
        <v>972</v>
      </c>
      <c r="BM947" t="s">
        <v>13164</v>
      </c>
      <c r="BN947">
        <v>12511648</v>
      </c>
      <c r="BO947" t="s">
        <v>1767</v>
      </c>
      <c r="BP947" t="s">
        <v>74</v>
      </c>
      <c r="BQ947" t="s">
        <v>74</v>
      </c>
      <c r="BR947" t="s">
        <v>97</v>
      </c>
      <c r="BS947" t="s">
        <v>13165</v>
      </c>
      <c r="BT947" t="str">
        <f>HYPERLINK("https%3A%2F%2Fwww.webofscience.com%2Fwos%2Fwoscc%2Ffull-record%2FWOS:000180165800041","View Full Record in Web of Science")</f>
        <v>View Full Record in Web of Science</v>
      </c>
    </row>
    <row r="948" spans="1:72" x14ac:dyDescent="0.15">
      <c r="A948" t="s">
        <v>13166</v>
      </c>
      <c r="B948" t="s">
        <v>13167</v>
      </c>
      <c r="C948" t="s">
        <v>74</v>
      </c>
      <c r="D948" t="s">
        <v>74</v>
      </c>
      <c r="E948" t="s">
        <v>13168</v>
      </c>
      <c r="F948" t="s">
        <v>13167</v>
      </c>
      <c r="G948" t="s">
        <v>74</v>
      </c>
      <c r="H948" t="s">
        <v>74</v>
      </c>
      <c r="I948" t="s">
        <v>13169</v>
      </c>
      <c r="J948" t="s">
        <v>13170</v>
      </c>
      <c r="K948" t="s">
        <v>74</v>
      </c>
      <c r="L948" t="s">
        <v>74</v>
      </c>
      <c r="M948" t="s">
        <v>77</v>
      </c>
      <c r="N948" t="s">
        <v>13171</v>
      </c>
      <c r="O948" t="s">
        <v>13172</v>
      </c>
      <c r="P948" t="s">
        <v>13173</v>
      </c>
      <c r="Q948" t="s">
        <v>13174</v>
      </c>
      <c r="R948" t="s">
        <v>74</v>
      </c>
      <c r="S948" t="s">
        <v>74</v>
      </c>
      <c r="T948" t="s">
        <v>74</v>
      </c>
      <c r="U948" t="s">
        <v>13175</v>
      </c>
      <c r="V948" t="s">
        <v>74</v>
      </c>
      <c r="W948" t="s">
        <v>13176</v>
      </c>
      <c r="X948" t="s">
        <v>13177</v>
      </c>
      <c r="Y948" t="s">
        <v>13178</v>
      </c>
      <c r="Z948" t="s">
        <v>74</v>
      </c>
      <c r="AA948" t="s">
        <v>74</v>
      </c>
      <c r="AB948" t="s">
        <v>74</v>
      </c>
      <c r="AC948" t="s">
        <v>74</v>
      </c>
      <c r="AD948" t="s">
        <v>74</v>
      </c>
      <c r="AE948" t="s">
        <v>74</v>
      </c>
      <c r="AF948" t="s">
        <v>74</v>
      </c>
      <c r="AG948">
        <v>4</v>
      </c>
      <c r="AH948">
        <v>0</v>
      </c>
      <c r="AI948">
        <v>0</v>
      </c>
      <c r="AJ948">
        <v>0</v>
      </c>
      <c r="AK948">
        <v>0</v>
      </c>
      <c r="AL948" t="s">
        <v>13179</v>
      </c>
      <c r="AM948" t="s">
        <v>86</v>
      </c>
      <c r="AN948" t="s">
        <v>13180</v>
      </c>
      <c r="AO948" t="s">
        <v>74</v>
      </c>
      <c r="AP948" t="s">
        <v>74</v>
      </c>
      <c r="AQ948" t="s">
        <v>74</v>
      </c>
      <c r="AR948" t="s">
        <v>74</v>
      </c>
      <c r="AS948" t="s">
        <v>74</v>
      </c>
      <c r="AT948" t="s">
        <v>74</v>
      </c>
      <c r="AU948">
        <v>2003</v>
      </c>
      <c r="AV948" t="s">
        <v>74</v>
      </c>
      <c r="AW948" t="s">
        <v>74</v>
      </c>
      <c r="AX948" t="s">
        <v>74</v>
      </c>
      <c r="AY948" t="s">
        <v>74</v>
      </c>
      <c r="AZ948" t="s">
        <v>74</v>
      </c>
      <c r="BA948" t="s">
        <v>74</v>
      </c>
      <c r="BB948">
        <v>191</v>
      </c>
      <c r="BC948">
        <v>192</v>
      </c>
      <c r="BD948" t="s">
        <v>74</v>
      </c>
      <c r="BE948" t="s">
        <v>74</v>
      </c>
      <c r="BF948" t="s">
        <v>74</v>
      </c>
      <c r="BG948" t="s">
        <v>74</v>
      </c>
      <c r="BH948" t="s">
        <v>74</v>
      </c>
      <c r="BI948">
        <v>2</v>
      </c>
      <c r="BJ948" t="s">
        <v>5097</v>
      </c>
      <c r="BK948" t="s">
        <v>13181</v>
      </c>
      <c r="BL948" t="s">
        <v>5097</v>
      </c>
      <c r="BM948" t="s">
        <v>13182</v>
      </c>
      <c r="BN948" t="s">
        <v>74</v>
      </c>
      <c r="BO948" t="s">
        <v>74</v>
      </c>
      <c r="BP948" t="s">
        <v>74</v>
      </c>
      <c r="BQ948" t="s">
        <v>74</v>
      </c>
      <c r="BR948" t="s">
        <v>97</v>
      </c>
      <c r="BS948" t="s">
        <v>13183</v>
      </c>
      <c r="BT948" t="str">
        <f>HYPERLINK("https%3A%2F%2Fwww.webofscience.com%2Fwos%2Fwoscc%2Ffull-record%2FWOS:000224565100053","View Full Record in Web of Science")</f>
        <v>View Full Record in Web of Science</v>
      </c>
    </row>
    <row r="949" spans="1:72" x14ac:dyDescent="0.15">
      <c r="A949" t="s">
        <v>13166</v>
      </c>
      <c r="B949" t="s">
        <v>13184</v>
      </c>
      <c r="C949" t="s">
        <v>74</v>
      </c>
      <c r="D949" t="s">
        <v>13185</v>
      </c>
      <c r="E949" t="s">
        <v>74</v>
      </c>
      <c r="F949" t="s">
        <v>13184</v>
      </c>
      <c r="G949" t="s">
        <v>74</v>
      </c>
      <c r="H949" t="s">
        <v>74</v>
      </c>
      <c r="I949" t="s">
        <v>13186</v>
      </c>
      <c r="J949" t="s">
        <v>13187</v>
      </c>
      <c r="K949" t="s">
        <v>13188</v>
      </c>
      <c r="L949" t="s">
        <v>74</v>
      </c>
      <c r="M949" t="s">
        <v>77</v>
      </c>
      <c r="N949" t="s">
        <v>13171</v>
      </c>
      <c r="O949" t="s">
        <v>13189</v>
      </c>
      <c r="P949" t="s">
        <v>13190</v>
      </c>
      <c r="Q949" t="s">
        <v>13191</v>
      </c>
      <c r="R949" t="s">
        <v>74</v>
      </c>
      <c r="S949" t="s">
        <v>74</v>
      </c>
      <c r="T949" t="s">
        <v>74</v>
      </c>
      <c r="U949" t="s">
        <v>13192</v>
      </c>
      <c r="V949" t="s">
        <v>13193</v>
      </c>
      <c r="W949" t="s">
        <v>5463</v>
      </c>
      <c r="X949" t="s">
        <v>706</v>
      </c>
      <c r="Y949" t="s">
        <v>13194</v>
      </c>
      <c r="Z949" t="s">
        <v>74</v>
      </c>
      <c r="AA949" t="s">
        <v>13195</v>
      </c>
      <c r="AB949" t="s">
        <v>13196</v>
      </c>
      <c r="AC949" t="s">
        <v>74</v>
      </c>
      <c r="AD949" t="s">
        <v>74</v>
      </c>
      <c r="AE949" t="s">
        <v>74</v>
      </c>
      <c r="AF949" t="s">
        <v>74</v>
      </c>
      <c r="AG949">
        <v>21</v>
      </c>
      <c r="AH949">
        <v>0</v>
      </c>
      <c r="AI949">
        <v>0</v>
      </c>
      <c r="AJ949">
        <v>0</v>
      </c>
      <c r="AK949">
        <v>0</v>
      </c>
      <c r="AL949" t="s">
        <v>13197</v>
      </c>
      <c r="AM949" t="s">
        <v>13198</v>
      </c>
      <c r="AN949" t="s">
        <v>13199</v>
      </c>
      <c r="AO949" t="s">
        <v>13200</v>
      </c>
      <c r="AP949" t="s">
        <v>74</v>
      </c>
      <c r="AQ949" t="s">
        <v>13201</v>
      </c>
      <c r="AR949" t="s">
        <v>13202</v>
      </c>
      <c r="AS949" t="s">
        <v>74</v>
      </c>
      <c r="AT949" t="s">
        <v>74</v>
      </c>
      <c r="AU949">
        <v>2003</v>
      </c>
      <c r="AV949">
        <v>530</v>
      </c>
      <c r="AW949" t="s">
        <v>74</v>
      </c>
      <c r="AX949" t="s">
        <v>74</v>
      </c>
      <c r="AY949" t="s">
        <v>74</v>
      </c>
      <c r="AZ949" t="s">
        <v>74</v>
      </c>
      <c r="BA949" t="s">
        <v>74</v>
      </c>
      <c r="BB949">
        <v>309</v>
      </c>
      <c r="BC949">
        <v>314</v>
      </c>
      <c r="BD949" t="s">
        <v>74</v>
      </c>
      <c r="BE949" t="s">
        <v>74</v>
      </c>
      <c r="BF949" t="s">
        <v>74</v>
      </c>
      <c r="BG949" t="s">
        <v>74</v>
      </c>
      <c r="BH949" t="s">
        <v>74</v>
      </c>
      <c r="BI949">
        <v>6</v>
      </c>
      <c r="BJ949" t="s">
        <v>13203</v>
      </c>
      <c r="BK949" t="s">
        <v>13181</v>
      </c>
      <c r="BL949" t="s">
        <v>13204</v>
      </c>
      <c r="BM949" t="s">
        <v>13205</v>
      </c>
      <c r="BN949" t="s">
        <v>74</v>
      </c>
      <c r="BO949" t="s">
        <v>74</v>
      </c>
      <c r="BP949" t="s">
        <v>74</v>
      </c>
      <c r="BQ949" t="s">
        <v>74</v>
      </c>
      <c r="BR949" t="s">
        <v>97</v>
      </c>
      <c r="BS949" t="s">
        <v>13206</v>
      </c>
      <c r="BT949" t="str">
        <f>HYPERLINK("https%3A%2F%2Fwww.webofscience.com%2Fwos%2Fwoscc%2Ffull-record%2FWOS:000187062200051","View Full Record in Web of Science")</f>
        <v>View Full Record in Web of Science</v>
      </c>
    </row>
    <row r="950" spans="1:72" x14ac:dyDescent="0.15">
      <c r="A950" t="s">
        <v>13166</v>
      </c>
      <c r="B950" t="s">
        <v>13207</v>
      </c>
      <c r="C950" t="s">
        <v>74</v>
      </c>
      <c r="D950" t="s">
        <v>13185</v>
      </c>
      <c r="E950" t="s">
        <v>74</v>
      </c>
      <c r="F950" t="s">
        <v>13207</v>
      </c>
      <c r="G950" t="s">
        <v>74</v>
      </c>
      <c r="H950" t="s">
        <v>74</v>
      </c>
      <c r="I950" t="s">
        <v>13208</v>
      </c>
      <c r="J950" t="s">
        <v>13187</v>
      </c>
      <c r="K950" t="s">
        <v>13188</v>
      </c>
      <c r="L950" t="s">
        <v>74</v>
      </c>
      <c r="M950" t="s">
        <v>77</v>
      </c>
      <c r="N950" t="s">
        <v>13171</v>
      </c>
      <c r="O950" t="s">
        <v>13189</v>
      </c>
      <c r="P950" t="s">
        <v>13190</v>
      </c>
      <c r="Q950" t="s">
        <v>13191</v>
      </c>
      <c r="R950" t="s">
        <v>74</v>
      </c>
      <c r="S950" t="s">
        <v>74</v>
      </c>
      <c r="T950" t="s">
        <v>74</v>
      </c>
      <c r="U950" t="s">
        <v>13209</v>
      </c>
      <c r="V950" t="s">
        <v>13210</v>
      </c>
      <c r="W950" t="s">
        <v>6026</v>
      </c>
      <c r="X950" t="s">
        <v>5334</v>
      </c>
      <c r="Y950" t="s">
        <v>13211</v>
      </c>
      <c r="Z950" t="s">
        <v>74</v>
      </c>
      <c r="AA950" t="s">
        <v>13212</v>
      </c>
      <c r="AB950" t="s">
        <v>13213</v>
      </c>
      <c r="AC950" t="s">
        <v>74</v>
      </c>
      <c r="AD950" t="s">
        <v>74</v>
      </c>
      <c r="AE950" t="s">
        <v>74</v>
      </c>
      <c r="AF950" t="s">
        <v>74</v>
      </c>
      <c r="AG950">
        <v>20</v>
      </c>
      <c r="AH950">
        <v>0</v>
      </c>
      <c r="AI950">
        <v>0</v>
      </c>
      <c r="AJ950">
        <v>0</v>
      </c>
      <c r="AK950">
        <v>2</v>
      </c>
      <c r="AL950" t="s">
        <v>13197</v>
      </c>
      <c r="AM950" t="s">
        <v>13198</v>
      </c>
      <c r="AN950" t="s">
        <v>13199</v>
      </c>
      <c r="AO950" t="s">
        <v>13200</v>
      </c>
      <c r="AP950" t="s">
        <v>74</v>
      </c>
      <c r="AQ950" t="s">
        <v>13201</v>
      </c>
      <c r="AR950" t="s">
        <v>13202</v>
      </c>
      <c r="AS950" t="s">
        <v>74</v>
      </c>
      <c r="AT950" t="s">
        <v>74</v>
      </c>
      <c r="AU950">
        <v>2003</v>
      </c>
      <c r="AV950">
        <v>530</v>
      </c>
      <c r="AW950" t="s">
        <v>74</v>
      </c>
      <c r="AX950" t="s">
        <v>74</v>
      </c>
      <c r="AY950" t="s">
        <v>74</v>
      </c>
      <c r="AZ950" t="s">
        <v>74</v>
      </c>
      <c r="BA950" t="s">
        <v>74</v>
      </c>
      <c r="BB950">
        <v>521</v>
      </c>
      <c r="BC950">
        <v>526</v>
      </c>
      <c r="BD950" t="s">
        <v>74</v>
      </c>
      <c r="BE950" t="s">
        <v>74</v>
      </c>
      <c r="BF950" t="s">
        <v>74</v>
      </c>
      <c r="BG950" t="s">
        <v>74</v>
      </c>
      <c r="BH950" t="s">
        <v>74</v>
      </c>
      <c r="BI950">
        <v>6</v>
      </c>
      <c r="BJ950" t="s">
        <v>13203</v>
      </c>
      <c r="BK950" t="s">
        <v>13181</v>
      </c>
      <c r="BL950" t="s">
        <v>13204</v>
      </c>
      <c r="BM950" t="s">
        <v>13205</v>
      </c>
      <c r="BN950" t="s">
        <v>74</v>
      </c>
      <c r="BO950" t="s">
        <v>74</v>
      </c>
      <c r="BP950" t="s">
        <v>74</v>
      </c>
      <c r="BQ950" t="s">
        <v>74</v>
      </c>
      <c r="BR950" t="s">
        <v>97</v>
      </c>
      <c r="BS950" t="s">
        <v>13214</v>
      </c>
      <c r="BT950" t="str">
        <f>HYPERLINK("https%3A%2F%2Fwww.webofscience.com%2Fwos%2Fwoscc%2Ffull-record%2FWOS:000187062200087","View Full Record in Web of Science")</f>
        <v>View Full Record in Web of Science</v>
      </c>
    </row>
    <row r="951" spans="1:72" x14ac:dyDescent="0.15">
      <c r="A951" t="s">
        <v>13166</v>
      </c>
      <c r="B951" t="s">
        <v>13215</v>
      </c>
      <c r="C951" t="s">
        <v>74</v>
      </c>
      <c r="D951" t="s">
        <v>13185</v>
      </c>
      <c r="E951" t="s">
        <v>74</v>
      </c>
      <c r="F951" t="s">
        <v>13215</v>
      </c>
      <c r="G951" t="s">
        <v>74</v>
      </c>
      <c r="H951" t="s">
        <v>74</v>
      </c>
      <c r="I951" t="s">
        <v>13216</v>
      </c>
      <c r="J951" t="s">
        <v>13187</v>
      </c>
      <c r="K951" t="s">
        <v>13188</v>
      </c>
      <c r="L951" t="s">
        <v>74</v>
      </c>
      <c r="M951" t="s">
        <v>77</v>
      </c>
      <c r="N951" t="s">
        <v>13171</v>
      </c>
      <c r="O951" t="s">
        <v>13189</v>
      </c>
      <c r="P951" t="s">
        <v>13190</v>
      </c>
      <c r="Q951" t="s">
        <v>13191</v>
      </c>
      <c r="R951" t="s">
        <v>74</v>
      </c>
      <c r="S951" t="s">
        <v>74</v>
      </c>
      <c r="T951" t="s">
        <v>74</v>
      </c>
      <c r="U951" t="s">
        <v>74</v>
      </c>
      <c r="V951" t="s">
        <v>74</v>
      </c>
      <c r="W951" t="s">
        <v>13217</v>
      </c>
      <c r="X951" t="s">
        <v>74</v>
      </c>
      <c r="Y951" t="s">
        <v>13218</v>
      </c>
      <c r="Z951" t="s">
        <v>74</v>
      </c>
      <c r="AA951" t="s">
        <v>13219</v>
      </c>
      <c r="AB951" t="s">
        <v>74</v>
      </c>
      <c r="AC951" t="s">
        <v>74</v>
      </c>
      <c r="AD951" t="s">
        <v>74</v>
      </c>
      <c r="AE951" t="s">
        <v>74</v>
      </c>
      <c r="AF951" t="s">
        <v>74</v>
      </c>
      <c r="AG951">
        <v>9</v>
      </c>
      <c r="AH951">
        <v>0</v>
      </c>
      <c r="AI951">
        <v>0</v>
      </c>
      <c r="AJ951">
        <v>0</v>
      </c>
      <c r="AK951">
        <v>0</v>
      </c>
      <c r="AL951" t="s">
        <v>13197</v>
      </c>
      <c r="AM951" t="s">
        <v>13198</v>
      </c>
      <c r="AN951" t="s">
        <v>13199</v>
      </c>
      <c r="AO951" t="s">
        <v>13200</v>
      </c>
      <c r="AP951" t="s">
        <v>74</v>
      </c>
      <c r="AQ951" t="s">
        <v>13201</v>
      </c>
      <c r="AR951" t="s">
        <v>13202</v>
      </c>
      <c r="AS951" t="s">
        <v>74</v>
      </c>
      <c r="AT951" t="s">
        <v>74</v>
      </c>
      <c r="AU951">
        <v>2003</v>
      </c>
      <c r="AV951">
        <v>530</v>
      </c>
      <c r="AW951" t="s">
        <v>74</v>
      </c>
      <c r="AX951" t="s">
        <v>74</v>
      </c>
      <c r="AY951" t="s">
        <v>74</v>
      </c>
      <c r="AZ951" t="s">
        <v>74</v>
      </c>
      <c r="BA951" t="s">
        <v>74</v>
      </c>
      <c r="BB951">
        <v>597</v>
      </c>
      <c r="BC951">
        <v>599</v>
      </c>
      <c r="BD951" t="s">
        <v>74</v>
      </c>
      <c r="BE951" t="s">
        <v>74</v>
      </c>
      <c r="BF951" t="s">
        <v>74</v>
      </c>
      <c r="BG951" t="s">
        <v>74</v>
      </c>
      <c r="BH951" t="s">
        <v>74</v>
      </c>
      <c r="BI951">
        <v>3</v>
      </c>
      <c r="BJ951" t="s">
        <v>13203</v>
      </c>
      <c r="BK951" t="s">
        <v>13181</v>
      </c>
      <c r="BL951" t="s">
        <v>13204</v>
      </c>
      <c r="BM951" t="s">
        <v>13205</v>
      </c>
      <c r="BN951" t="s">
        <v>74</v>
      </c>
      <c r="BO951" t="s">
        <v>74</v>
      </c>
      <c r="BP951" t="s">
        <v>74</v>
      </c>
      <c r="BQ951" t="s">
        <v>74</v>
      </c>
      <c r="BR951" t="s">
        <v>97</v>
      </c>
      <c r="BS951" t="s">
        <v>13220</v>
      </c>
      <c r="BT951" t="str">
        <f>HYPERLINK("https%3A%2F%2Fwww.webofscience.com%2Fwos%2Fwoscc%2Ffull-record%2FWOS:000187062200101","View Full Record in Web of Science")</f>
        <v>View Full Record in Web of Science</v>
      </c>
    </row>
    <row r="952" spans="1:72" x14ac:dyDescent="0.15">
      <c r="A952" t="s">
        <v>13166</v>
      </c>
      <c r="B952" t="s">
        <v>13221</v>
      </c>
      <c r="C952" t="s">
        <v>74</v>
      </c>
      <c r="D952" t="s">
        <v>13222</v>
      </c>
      <c r="E952" t="s">
        <v>74</v>
      </c>
      <c r="F952" t="s">
        <v>13221</v>
      </c>
      <c r="G952" t="s">
        <v>74</v>
      </c>
      <c r="H952" t="s">
        <v>74</v>
      </c>
      <c r="I952" t="s">
        <v>13223</v>
      </c>
      <c r="J952" t="s">
        <v>13224</v>
      </c>
      <c r="K952" t="s">
        <v>74</v>
      </c>
      <c r="L952" t="s">
        <v>74</v>
      </c>
      <c r="M952" t="s">
        <v>77</v>
      </c>
      <c r="N952" t="s">
        <v>13171</v>
      </c>
      <c r="O952" t="s">
        <v>13225</v>
      </c>
      <c r="P952" t="s">
        <v>13226</v>
      </c>
      <c r="Q952" t="s">
        <v>13227</v>
      </c>
      <c r="R952" t="s">
        <v>74</v>
      </c>
      <c r="S952" t="s">
        <v>74</v>
      </c>
      <c r="T952" t="s">
        <v>13228</v>
      </c>
      <c r="U952" t="s">
        <v>74</v>
      </c>
      <c r="V952" t="s">
        <v>13229</v>
      </c>
      <c r="W952" t="s">
        <v>13230</v>
      </c>
      <c r="X952" t="s">
        <v>13231</v>
      </c>
      <c r="Y952" t="s">
        <v>13232</v>
      </c>
      <c r="Z952" t="s">
        <v>74</v>
      </c>
      <c r="AA952" t="s">
        <v>13233</v>
      </c>
      <c r="AB952" t="s">
        <v>13234</v>
      </c>
      <c r="AC952" t="s">
        <v>74</v>
      </c>
      <c r="AD952" t="s">
        <v>74</v>
      </c>
      <c r="AE952" t="s">
        <v>74</v>
      </c>
      <c r="AF952" t="s">
        <v>74</v>
      </c>
      <c r="AG952">
        <v>8</v>
      </c>
      <c r="AH952">
        <v>1</v>
      </c>
      <c r="AI952">
        <v>1</v>
      </c>
      <c r="AJ952">
        <v>0</v>
      </c>
      <c r="AK952">
        <v>1</v>
      </c>
      <c r="AL952" t="s">
        <v>13235</v>
      </c>
      <c r="AM952" t="s">
        <v>13236</v>
      </c>
      <c r="AN952" t="s">
        <v>13237</v>
      </c>
      <c r="AO952" t="s">
        <v>74</v>
      </c>
      <c r="AP952" t="s">
        <v>74</v>
      </c>
      <c r="AQ952" t="s">
        <v>13238</v>
      </c>
      <c r="AR952" t="s">
        <v>74</v>
      </c>
      <c r="AS952" t="s">
        <v>74</v>
      </c>
      <c r="AT952" t="s">
        <v>74</v>
      </c>
      <c r="AU952">
        <v>2003</v>
      </c>
      <c r="AV952" t="s">
        <v>74</v>
      </c>
      <c r="AW952" t="s">
        <v>74</v>
      </c>
      <c r="AX952" t="s">
        <v>74</v>
      </c>
      <c r="AY952" t="s">
        <v>74</v>
      </c>
      <c r="AZ952" t="s">
        <v>74</v>
      </c>
      <c r="BA952" t="s">
        <v>74</v>
      </c>
      <c r="BB952">
        <v>296</v>
      </c>
      <c r="BC952">
        <v>298</v>
      </c>
      <c r="BD952" t="s">
        <v>74</v>
      </c>
      <c r="BE952" t="s">
        <v>74</v>
      </c>
      <c r="BF952" t="s">
        <v>74</v>
      </c>
      <c r="BG952" t="s">
        <v>74</v>
      </c>
      <c r="BH952" t="s">
        <v>74</v>
      </c>
      <c r="BI952">
        <v>3</v>
      </c>
      <c r="BJ952" t="s">
        <v>13239</v>
      </c>
      <c r="BK952" t="s">
        <v>13181</v>
      </c>
      <c r="BL952" t="s">
        <v>13240</v>
      </c>
      <c r="BM952" t="s">
        <v>13241</v>
      </c>
      <c r="BN952" t="s">
        <v>74</v>
      </c>
      <c r="BO952" t="s">
        <v>74</v>
      </c>
      <c r="BP952" t="s">
        <v>74</v>
      </c>
      <c r="BQ952" t="s">
        <v>74</v>
      </c>
      <c r="BR952" t="s">
        <v>97</v>
      </c>
      <c r="BS952" t="s">
        <v>13242</v>
      </c>
      <c r="BT952" t="str">
        <f>HYPERLINK("https%3A%2F%2Fwww.webofscience.com%2Fwos%2Fwoscc%2Ffull-record%2FWOS:000189328300054","View Full Record in Web of Science")</f>
        <v>View Full Record in Web of Science</v>
      </c>
    </row>
    <row r="953" spans="1:72" x14ac:dyDescent="0.15">
      <c r="A953" t="s">
        <v>72</v>
      </c>
      <c r="B953" t="s">
        <v>13243</v>
      </c>
      <c r="C953" t="s">
        <v>74</v>
      </c>
      <c r="D953" t="s">
        <v>74</v>
      </c>
      <c r="E953" t="s">
        <v>74</v>
      </c>
      <c r="F953" t="s">
        <v>13243</v>
      </c>
      <c r="G953" t="s">
        <v>74</v>
      </c>
      <c r="H953" t="s">
        <v>74</v>
      </c>
      <c r="I953" t="s">
        <v>13244</v>
      </c>
      <c r="J953" t="s">
        <v>13245</v>
      </c>
      <c r="K953" t="s">
        <v>74</v>
      </c>
      <c r="L953" t="s">
        <v>74</v>
      </c>
      <c r="M953" t="s">
        <v>77</v>
      </c>
      <c r="N953" t="s">
        <v>78</v>
      </c>
      <c r="O953" t="s">
        <v>74</v>
      </c>
      <c r="P953" t="s">
        <v>74</v>
      </c>
      <c r="Q953" t="s">
        <v>74</v>
      </c>
      <c r="R953" t="s">
        <v>74</v>
      </c>
      <c r="S953" t="s">
        <v>74</v>
      </c>
      <c r="T953" t="s">
        <v>13246</v>
      </c>
      <c r="U953" t="s">
        <v>13247</v>
      </c>
      <c r="V953" t="s">
        <v>13248</v>
      </c>
      <c r="W953" t="s">
        <v>13249</v>
      </c>
      <c r="X953" t="s">
        <v>13250</v>
      </c>
      <c r="Y953" t="s">
        <v>13251</v>
      </c>
      <c r="Z953" t="s">
        <v>74</v>
      </c>
      <c r="AA953" t="s">
        <v>13252</v>
      </c>
      <c r="AB953" t="s">
        <v>13253</v>
      </c>
      <c r="AC953" t="s">
        <v>74</v>
      </c>
      <c r="AD953" t="s">
        <v>74</v>
      </c>
      <c r="AE953" t="s">
        <v>74</v>
      </c>
      <c r="AF953" t="s">
        <v>74</v>
      </c>
      <c r="AG953">
        <v>20</v>
      </c>
      <c r="AH953">
        <v>1</v>
      </c>
      <c r="AI953">
        <v>2</v>
      </c>
      <c r="AJ953">
        <v>0</v>
      </c>
      <c r="AK953">
        <v>6</v>
      </c>
      <c r="AL953" t="s">
        <v>13254</v>
      </c>
      <c r="AM953" t="s">
        <v>3370</v>
      </c>
      <c r="AN953" t="s">
        <v>13255</v>
      </c>
      <c r="AO953" t="s">
        <v>13256</v>
      </c>
      <c r="AP953" t="s">
        <v>74</v>
      </c>
      <c r="AQ953" t="s">
        <v>74</v>
      </c>
      <c r="AR953" t="s">
        <v>13257</v>
      </c>
      <c r="AS953" t="s">
        <v>13258</v>
      </c>
      <c r="AT953" t="s">
        <v>74</v>
      </c>
      <c r="AU953">
        <v>2003</v>
      </c>
      <c r="AV953">
        <v>22</v>
      </c>
      <c r="AW953">
        <v>4</v>
      </c>
      <c r="AX953" t="s">
        <v>74</v>
      </c>
      <c r="AY953" t="s">
        <v>74</v>
      </c>
      <c r="AZ953" t="s">
        <v>74</v>
      </c>
      <c r="BA953" t="s">
        <v>74</v>
      </c>
      <c r="BB953">
        <v>547</v>
      </c>
      <c r="BC953">
        <v>556</v>
      </c>
      <c r="BD953" t="s">
        <v>74</v>
      </c>
      <c r="BE953" t="s">
        <v>74</v>
      </c>
      <c r="BF953" t="s">
        <v>74</v>
      </c>
      <c r="BG953" t="s">
        <v>74</v>
      </c>
      <c r="BH953" t="s">
        <v>74</v>
      </c>
      <c r="BI953">
        <v>10</v>
      </c>
      <c r="BJ953" t="s">
        <v>678</v>
      </c>
      <c r="BK953" t="s">
        <v>94</v>
      </c>
      <c r="BL953" t="s">
        <v>678</v>
      </c>
      <c r="BM953" t="s">
        <v>13259</v>
      </c>
      <c r="BN953" t="s">
        <v>74</v>
      </c>
      <c r="BO953" t="s">
        <v>74</v>
      </c>
      <c r="BP953" t="s">
        <v>74</v>
      </c>
      <c r="BQ953" t="s">
        <v>74</v>
      </c>
      <c r="BR953" t="s">
        <v>97</v>
      </c>
      <c r="BS953" t="s">
        <v>13260</v>
      </c>
      <c r="BT953" t="str">
        <f>HYPERLINK("https%3A%2F%2Fwww.webofscience.com%2Fwos%2Fwoscc%2Ffull-record%2FWOS:000187722300006","View Full Record in Web of Science")</f>
        <v>View Full Record in Web of Science</v>
      </c>
    </row>
    <row r="954" spans="1:72" x14ac:dyDescent="0.15">
      <c r="A954" t="s">
        <v>13166</v>
      </c>
      <c r="B954" t="s">
        <v>13261</v>
      </c>
      <c r="C954" t="s">
        <v>74</v>
      </c>
      <c r="D954" t="s">
        <v>13262</v>
      </c>
      <c r="E954" t="s">
        <v>74</v>
      </c>
      <c r="F954" t="s">
        <v>13261</v>
      </c>
      <c r="G954" t="s">
        <v>74</v>
      </c>
      <c r="H954" t="s">
        <v>74</v>
      </c>
      <c r="I954" t="s">
        <v>13263</v>
      </c>
      <c r="J954" t="s">
        <v>13264</v>
      </c>
      <c r="K954" t="s">
        <v>13265</v>
      </c>
      <c r="L954" t="s">
        <v>74</v>
      </c>
      <c r="M954" t="s">
        <v>77</v>
      </c>
      <c r="N954" t="s">
        <v>13171</v>
      </c>
      <c r="O954" t="s">
        <v>13266</v>
      </c>
      <c r="P954" t="s">
        <v>13267</v>
      </c>
      <c r="Q954" t="s">
        <v>13268</v>
      </c>
      <c r="R954" t="s">
        <v>74</v>
      </c>
      <c r="S954" t="s">
        <v>13269</v>
      </c>
      <c r="T954" t="s">
        <v>74</v>
      </c>
      <c r="U954" t="s">
        <v>13270</v>
      </c>
      <c r="V954" t="s">
        <v>13271</v>
      </c>
      <c r="W954" t="s">
        <v>13272</v>
      </c>
      <c r="X954" t="s">
        <v>13273</v>
      </c>
      <c r="Y954" t="s">
        <v>13274</v>
      </c>
      <c r="Z954" t="s">
        <v>13275</v>
      </c>
      <c r="AA954" t="s">
        <v>74</v>
      </c>
      <c r="AB954" t="s">
        <v>74</v>
      </c>
      <c r="AC954" t="s">
        <v>74</v>
      </c>
      <c r="AD954" t="s">
        <v>74</v>
      </c>
      <c r="AE954" t="s">
        <v>74</v>
      </c>
      <c r="AF954" t="s">
        <v>74</v>
      </c>
      <c r="AG954">
        <v>55</v>
      </c>
      <c r="AH954">
        <v>1</v>
      </c>
      <c r="AI954">
        <v>1</v>
      </c>
      <c r="AJ954">
        <v>0</v>
      </c>
      <c r="AK954">
        <v>2</v>
      </c>
      <c r="AL954" t="s">
        <v>207</v>
      </c>
      <c r="AM954" t="s">
        <v>208</v>
      </c>
      <c r="AN954" t="s">
        <v>13276</v>
      </c>
      <c r="AO954" t="s">
        <v>13277</v>
      </c>
      <c r="AP954" t="s">
        <v>74</v>
      </c>
      <c r="AQ954" t="s">
        <v>13278</v>
      </c>
      <c r="AR954" t="s">
        <v>13279</v>
      </c>
      <c r="AS954" t="s">
        <v>74</v>
      </c>
      <c r="AT954" t="s">
        <v>74</v>
      </c>
      <c r="AU954">
        <v>2003</v>
      </c>
      <c r="AV954">
        <v>12</v>
      </c>
      <c r="AW954" t="s">
        <v>74</v>
      </c>
      <c r="AX954" t="s">
        <v>74</v>
      </c>
      <c r="AY954" t="s">
        <v>74</v>
      </c>
      <c r="AZ954" t="s">
        <v>74</v>
      </c>
      <c r="BA954" t="s">
        <v>74</v>
      </c>
      <c r="BB954">
        <v>379</v>
      </c>
      <c r="BC954">
        <v>390</v>
      </c>
      <c r="BD954" t="s">
        <v>74</v>
      </c>
      <c r="BE954" t="s">
        <v>74</v>
      </c>
      <c r="BF954" t="s">
        <v>74</v>
      </c>
      <c r="BG954" t="s">
        <v>74</v>
      </c>
      <c r="BH954" t="s">
        <v>74</v>
      </c>
      <c r="BI954">
        <v>12</v>
      </c>
      <c r="BJ954" t="s">
        <v>13280</v>
      </c>
      <c r="BK954" t="s">
        <v>13181</v>
      </c>
      <c r="BL954" t="s">
        <v>13281</v>
      </c>
      <c r="BM954" t="s">
        <v>13282</v>
      </c>
      <c r="BN954" t="s">
        <v>74</v>
      </c>
      <c r="BO954" t="s">
        <v>74</v>
      </c>
      <c r="BP954" t="s">
        <v>74</v>
      </c>
      <c r="BQ954" t="s">
        <v>74</v>
      </c>
      <c r="BR954" t="s">
        <v>97</v>
      </c>
      <c r="BS954" t="s">
        <v>13283</v>
      </c>
      <c r="BT954" t="str">
        <f>HYPERLINK("https%3A%2F%2Fwww.webofscience.com%2Fwos%2Fwoscc%2Ffull-record%2FWOS:000189491400014","View Full Record in Web of Science")</f>
        <v>View Full Record in Web of Science</v>
      </c>
    </row>
    <row r="955" spans="1:72" x14ac:dyDescent="0.15">
      <c r="A955" t="s">
        <v>72</v>
      </c>
      <c r="B955" t="s">
        <v>13284</v>
      </c>
      <c r="C955" t="s">
        <v>74</v>
      </c>
      <c r="D955" t="s">
        <v>74</v>
      </c>
      <c r="E955" t="s">
        <v>74</v>
      </c>
      <c r="F955" t="s">
        <v>13284</v>
      </c>
      <c r="G955" t="s">
        <v>74</v>
      </c>
      <c r="H955" t="s">
        <v>74</v>
      </c>
      <c r="I955" t="s">
        <v>13285</v>
      </c>
      <c r="J955" t="s">
        <v>13286</v>
      </c>
      <c r="K955" t="s">
        <v>74</v>
      </c>
      <c r="L955" t="s">
        <v>74</v>
      </c>
      <c r="M955" t="s">
        <v>77</v>
      </c>
      <c r="N955" t="s">
        <v>78</v>
      </c>
      <c r="O955" t="s">
        <v>74</v>
      </c>
      <c r="P955" t="s">
        <v>74</v>
      </c>
      <c r="Q955" t="s">
        <v>74</v>
      </c>
      <c r="R955" t="s">
        <v>74</v>
      </c>
      <c r="S955" t="s">
        <v>74</v>
      </c>
      <c r="T955" t="s">
        <v>13287</v>
      </c>
      <c r="U955" t="s">
        <v>74</v>
      </c>
      <c r="V955" t="s">
        <v>13288</v>
      </c>
      <c r="W955" t="s">
        <v>13289</v>
      </c>
      <c r="X955" t="s">
        <v>13290</v>
      </c>
      <c r="Y955" t="s">
        <v>13291</v>
      </c>
      <c r="Z955" t="s">
        <v>74</v>
      </c>
      <c r="AA955" t="s">
        <v>74</v>
      </c>
      <c r="AB955" t="s">
        <v>74</v>
      </c>
      <c r="AC955" t="s">
        <v>74</v>
      </c>
      <c r="AD955" t="s">
        <v>74</v>
      </c>
      <c r="AE955" t="s">
        <v>74</v>
      </c>
      <c r="AF955" t="s">
        <v>74</v>
      </c>
      <c r="AG955">
        <v>17</v>
      </c>
      <c r="AH955">
        <v>22</v>
      </c>
      <c r="AI955">
        <v>38</v>
      </c>
      <c r="AJ955">
        <v>2</v>
      </c>
      <c r="AK955">
        <v>40</v>
      </c>
      <c r="AL955" t="s">
        <v>13254</v>
      </c>
      <c r="AM955" t="s">
        <v>3370</v>
      </c>
      <c r="AN955" t="s">
        <v>13255</v>
      </c>
      <c r="AO955" t="s">
        <v>13292</v>
      </c>
      <c r="AP955" t="s">
        <v>74</v>
      </c>
      <c r="AQ955" t="s">
        <v>74</v>
      </c>
      <c r="AR955" t="s">
        <v>13293</v>
      </c>
      <c r="AS955" t="s">
        <v>13294</v>
      </c>
      <c r="AT955" t="s">
        <v>13295</v>
      </c>
      <c r="AU955">
        <v>2003</v>
      </c>
      <c r="AV955">
        <v>20</v>
      </c>
      <c r="AW955">
        <v>1</v>
      </c>
      <c r="AX955" t="s">
        <v>74</v>
      </c>
      <c r="AY955" t="s">
        <v>74</v>
      </c>
      <c r="AZ955" t="s">
        <v>74</v>
      </c>
      <c r="BA955" t="s">
        <v>74</v>
      </c>
      <c r="BB955">
        <v>97</v>
      </c>
      <c r="BC955">
        <v>102</v>
      </c>
      <c r="BD955" t="s">
        <v>74</v>
      </c>
      <c r="BE955" t="s">
        <v>13296</v>
      </c>
      <c r="BF955" t="str">
        <f>HYPERLINK("http://dx.doi.org/10.1007/BF03342053","http://dx.doi.org/10.1007/BF03342053")</f>
        <v>http://dx.doi.org/10.1007/BF03342053</v>
      </c>
      <c r="BG955" t="s">
        <v>74</v>
      </c>
      <c r="BH955" t="s">
        <v>74</v>
      </c>
      <c r="BI955">
        <v>6</v>
      </c>
      <c r="BJ955" t="s">
        <v>93</v>
      </c>
      <c r="BK955" t="s">
        <v>94</v>
      </c>
      <c r="BL955" t="s">
        <v>93</v>
      </c>
      <c r="BM955" t="s">
        <v>13297</v>
      </c>
      <c r="BN955" t="s">
        <v>74</v>
      </c>
      <c r="BO955" t="s">
        <v>74</v>
      </c>
      <c r="BP955" t="s">
        <v>74</v>
      </c>
      <c r="BQ955" t="s">
        <v>74</v>
      </c>
      <c r="BR955" t="s">
        <v>97</v>
      </c>
      <c r="BS955" t="s">
        <v>13298</v>
      </c>
      <c r="BT955" t="str">
        <f>HYPERLINK("https%3A%2F%2Fwww.webofscience.com%2Fwos%2Fwoscc%2Ffull-record%2FWOS:000180676100009","View Full Record in Web of Science")</f>
        <v>View Full Record in Web of Science</v>
      </c>
    </row>
    <row r="956" spans="1:72" x14ac:dyDescent="0.15">
      <c r="A956" t="s">
        <v>5377</v>
      </c>
      <c r="B956" t="s">
        <v>13299</v>
      </c>
      <c r="C956" t="s">
        <v>74</v>
      </c>
      <c r="D956" t="s">
        <v>13300</v>
      </c>
      <c r="E956" t="s">
        <v>74</v>
      </c>
      <c r="F956" t="s">
        <v>13299</v>
      </c>
      <c r="G956" t="s">
        <v>74</v>
      </c>
      <c r="H956" t="s">
        <v>74</v>
      </c>
      <c r="I956" t="s">
        <v>13301</v>
      </c>
      <c r="J956" t="s">
        <v>13302</v>
      </c>
      <c r="K956" t="s">
        <v>13303</v>
      </c>
      <c r="L956" t="s">
        <v>74</v>
      </c>
      <c r="M956" t="s">
        <v>77</v>
      </c>
      <c r="N956" t="s">
        <v>556</v>
      </c>
      <c r="O956" t="s">
        <v>74</v>
      </c>
      <c r="P956" t="s">
        <v>74</v>
      </c>
      <c r="Q956" t="s">
        <v>74</v>
      </c>
      <c r="R956" t="s">
        <v>74</v>
      </c>
      <c r="S956" t="s">
        <v>74</v>
      </c>
      <c r="T956" t="s">
        <v>74</v>
      </c>
      <c r="U956" t="s">
        <v>13304</v>
      </c>
      <c r="V956" t="s">
        <v>74</v>
      </c>
      <c r="W956" t="s">
        <v>13305</v>
      </c>
      <c r="X956" t="s">
        <v>13306</v>
      </c>
      <c r="Y956" t="s">
        <v>269</v>
      </c>
      <c r="Z956" t="s">
        <v>13307</v>
      </c>
      <c r="AA956" t="s">
        <v>2148</v>
      </c>
      <c r="AB956" t="s">
        <v>2149</v>
      </c>
      <c r="AC956" t="s">
        <v>74</v>
      </c>
      <c r="AD956" t="s">
        <v>74</v>
      </c>
      <c r="AE956" t="s">
        <v>74</v>
      </c>
      <c r="AF956" t="s">
        <v>74</v>
      </c>
      <c r="AG956">
        <v>221</v>
      </c>
      <c r="AH956">
        <v>74</v>
      </c>
      <c r="AI956">
        <v>82</v>
      </c>
      <c r="AJ956">
        <v>2</v>
      </c>
      <c r="AK956">
        <v>56</v>
      </c>
      <c r="AL956" t="s">
        <v>13308</v>
      </c>
      <c r="AM956" t="s">
        <v>964</v>
      </c>
      <c r="AN956" t="s">
        <v>13309</v>
      </c>
      <c r="AO956" t="s">
        <v>13310</v>
      </c>
      <c r="AP956" t="s">
        <v>74</v>
      </c>
      <c r="AQ956" t="s">
        <v>13311</v>
      </c>
      <c r="AR956" t="s">
        <v>13312</v>
      </c>
      <c r="AS956" t="s">
        <v>13313</v>
      </c>
      <c r="AT956" t="s">
        <v>74</v>
      </c>
      <c r="AU956">
        <v>2003</v>
      </c>
      <c r="AV956">
        <v>44</v>
      </c>
      <c r="AW956" t="s">
        <v>74</v>
      </c>
      <c r="AX956" t="s">
        <v>74</v>
      </c>
      <c r="AY956" t="s">
        <v>74</v>
      </c>
      <c r="AZ956" t="s">
        <v>74</v>
      </c>
      <c r="BA956" t="s">
        <v>74</v>
      </c>
      <c r="BB956">
        <v>1</v>
      </c>
      <c r="BC956">
        <v>142</v>
      </c>
      <c r="BD956" t="s">
        <v>74</v>
      </c>
      <c r="BE956" t="s">
        <v>13314</v>
      </c>
      <c r="BF956" t="str">
        <f>HYPERLINK("http://dx.doi.org/10.1016/S0065-2881(03)44002-9","http://dx.doi.org/10.1016/S0065-2881(03)44002-9")</f>
        <v>http://dx.doi.org/10.1016/S0065-2881(03)44002-9</v>
      </c>
      <c r="BG956" t="s">
        <v>74</v>
      </c>
      <c r="BH956" t="s">
        <v>74</v>
      </c>
      <c r="BI956">
        <v>142</v>
      </c>
      <c r="BJ956" t="s">
        <v>235</v>
      </c>
      <c r="BK956" t="s">
        <v>94</v>
      </c>
      <c r="BL956" t="s">
        <v>235</v>
      </c>
      <c r="BM956" t="s">
        <v>13315</v>
      </c>
      <c r="BN956">
        <v>12846041</v>
      </c>
      <c r="BO956" t="s">
        <v>74</v>
      </c>
      <c r="BP956" t="s">
        <v>74</v>
      </c>
      <c r="BQ956" t="s">
        <v>74</v>
      </c>
      <c r="BR956" t="s">
        <v>97</v>
      </c>
      <c r="BS956" t="s">
        <v>13316</v>
      </c>
      <c r="BT956" t="str">
        <f>HYPERLINK("https%3A%2F%2Fwww.webofscience.com%2Fwos%2Fwoscc%2Ffull-record%2FWOS:000183896500001","View Full Record in Web of Science")</f>
        <v>View Full Record in Web of Science</v>
      </c>
    </row>
    <row r="957" spans="1:72" x14ac:dyDescent="0.15">
      <c r="A957" t="s">
        <v>13166</v>
      </c>
      <c r="B957" t="s">
        <v>13317</v>
      </c>
      <c r="C957" t="s">
        <v>74</v>
      </c>
      <c r="D957" t="s">
        <v>13318</v>
      </c>
      <c r="E957" t="s">
        <v>74</v>
      </c>
      <c r="F957" t="s">
        <v>13317</v>
      </c>
      <c r="G957" t="s">
        <v>74</v>
      </c>
      <c r="H957" t="s">
        <v>74</v>
      </c>
      <c r="I957" t="s">
        <v>13319</v>
      </c>
      <c r="J957" t="s">
        <v>13320</v>
      </c>
      <c r="K957" t="s">
        <v>74</v>
      </c>
      <c r="L957" t="s">
        <v>74</v>
      </c>
      <c r="M957" t="s">
        <v>77</v>
      </c>
      <c r="N957" t="s">
        <v>13171</v>
      </c>
      <c r="O957" t="s">
        <v>13321</v>
      </c>
      <c r="P957" t="s">
        <v>13322</v>
      </c>
      <c r="Q957" t="s">
        <v>13323</v>
      </c>
      <c r="R957" t="s">
        <v>74</v>
      </c>
      <c r="S957" t="s">
        <v>74</v>
      </c>
      <c r="T957" t="s">
        <v>74</v>
      </c>
      <c r="U957" t="s">
        <v>74</v>
      </c>
      <c r="V957" t="s">
        <v>74</v>
      </c>
      <c r="W957" t="s">
        <v>13324</v>
      </c>
      <c r="X957" t="s">
        <v>74</v>
      </c>
      <c r="Y957" t="s">
        <v>13325</v>
      </c>
      <c r="Z957" t="s">
        <v>74</v>
      </c>
      <c r="AA957" t="s">
        <v>13326</v>
      </c>
      <c r="AB957" t="s">
        <v>13327</v>
      </c>
      <c r="AC957" t="s">
        <v>74</v>
      </c>
      <c r="AD957" t="s">
        <v>74</v>
      </c>
      <c r="AE957" t="s">
        <v>74</v>
      </c>
      <c r="AF957" t="s">
        <v>74</v>
      </c>
      <c r="AG957">
        <v>2</v>
      </c>
      <c r="AH957">
        <v>0</v>
      </c>
      <c r="AI957">
        <v>0</v>
      </c>
      <c r="AJ957">
        <v>0</v>
      </c>
      <c r="AK957">
        <v>0</v>
      </c>
      <c r="AL957" t="s">
        <v>13328</v>
      </c>
      <c r="AM957" t="s">
        <v>13329</v>
      </c>
      <c r="AN957" t="s">
        <v>13330</v>
      </c>
      <c r="AO957" t="s">
        <v>74</v>
      </c>
      <c r="AP957" t="s">
        <v>74</v>
      </c>
      <c r="AQ957" t="s">
        <v>13331</v>
      </c>
      <c r="AR957" t="s">
        <v>74</v>
      </c>
      <c r="AS957" t="s">
        <v>74</v>
      </c>
      <c r="AT957" t="s">
        <v>74</v>
      </c>
      <c r="AU957">
        <v>2003</v>
      </c>
      <c r="AV957" t="s">
        <v>74</v>
      </c>
      <c r="AW957" t="s">
        <v>74</v>
      </c>
      <c r="AX957" t="s">
        <v>74</v>
      </c>
      <c r="AY957" t="s">
        <v>74</v>
      </c>
      <c r="AZ957" t="s">
        <v>74</v>
      </c>
      <c r="BA957" t="s">
        <v>74</v>
      </c>
      <c r="BB957">
        <v>63</v>
      </c>
      <c r="BC957">
        <v>67</v>
      </c>
      <c r="BD957" t="s">
        <v>74</v>
      </c>
      <c r="BE957" t="s">
        <v>74</v>
      </c>
      <c r="BF957" t="s">
        <v>74</v>
      </c>
      <c r="BG957" t="s">
        <v>74</v>
      </c>
      <c r="BH957" t="s">
        <v>74</v>
      </c>
      <c r="BI957">
        <v>5</v>
      </c>
      <c r="BJ957" t="s">
        <v>13332</v>
      </c>
      <c r="BK957" t="s">
        <v>13181</v>
      </c>
      <c r="BL957" t="s">
        <v>13332</v>
      </c>
      <c r="BM957" t="s">
        <v>13333</v>
      </c>
      <c r="BN957" t="s">
        <v>74</v>
      </c>
      <c r="BO957" t="s">
        <v>74</v>
      </c>
      <c r="BP957" t="s">
        <v>74</v>
      </c>
      <c r="BQ957" t="s">
        <v>74</v>
      </c>
      <c r="BR957" t="s">
        <v>97</v>
      </c>
      <c r="BS957" t="s">
        <v>13334</v>
      </c>
      <c r="BT957" t="str">
        <f>HYPERLINK("https%3A%2F%2Fwww.webofscience.com%2Fwos%2Fwoscc%2Ffull-record%2FWOS:000189431900005","View Full Record in Web of Science")</f>
        <v>View Full Record in Web of Science</v>
      </c>
    </row>
    <row r="958" spans="1:72" x14ac:dyDescent="0.15">
      <c r="A958" t="s">
        <v>72</v>
      </c>
      <c r="B958" t="s">
        <v>13335</v>
      </c>
      <c r="C958" t="s">
        <v>74</v>
      </c>
      <c r="D958" t="s">
        <v>74</v>
      </c>
      <c r="E958" t="s">
        <v>74</v>
      </c>
      <c r="F958" t="s">
        <v>13335</v>
      </c>
      <c r="G958" t="s">
        <v>74</v>
      </c>
      <c r="H958" t="s">
        <v>74</v>
      </c>
      <c r="I958" t="s">
        <v>13336</v>
      </c>
      <c r="J958" t="s">
        <v>13337</v>
      </c>
      <c r="K958" t="s">
        <v>74</v>
      </c>
      <c r="L958" t="s">
        <v>74</v>
      </c>
      <c r="M958" t="s">
        <v>77</v>
      </c>
      <c r="N958" t="s">
        <v>78</v>
      </c>
      <c r="O958" t="s">
        <v>74</v>
      </c>
      <c r="P958" t="s">
        <v>74</v>
      </c>
      <c r="Q958" t="s">
        <v>74</v>
      </c>
      <c r="R958" t="s">
        <v>74</v>
      </c>
      <c r="S958" t="s">
        <v>74</v>
      </c>
      <c r="T958" t="s">
        <v>13338</v>
      </c>
      <c r="U958" t="s">
        <v>13339</v>
      </c>
      <c r="V958" t="s">
        <v>13340</v>
      </c>
      <c r="W958" t="s">
        <v>13341</v>
      </c>
      <c r="X958" t="s">
        <v>13342</v>
      </c>
      <c r="Y958" t="s">
        <v>13343</v>
      </c>
      <c r="Z958" t="s">
        <v>74</v>
      </c>
      <c r="AA958" t="s">
        <v>74</v>
      </c>
      <c r="AB958" t="s">
        <v>13344</v>
      </c>
      <c r="AC958" t="s">
        <v>74</v>
      </c>
      <c r="AD958" t="s">
        <v>74</v>
      </c>
      <c r="AE958" t="s">
        <v>74</v>
      </c>
      <c r="AF958" t="s">
        <v>74</v>
      </c>
      <c r="AG958">
        <v>58</v>
      </c>
      <c r="AH958">
        <v>39</v>
      </c>
      <c r="AI958">
        <v>43</v>
      </c>
      <c r="AJ958">
        <v>0</v>
      </c>
      <c r="AK958">
        <v>25</v>
      </c>
      <c r="AL958" t="s">
        <v>13345</v>
      </c>
      <c r="AM958" t="s">
        <v>13346</v>
      </c>
      <c r="AN958" t="s">
        <v>13347</v>
      </c>
      <c r="AO958" t="s">
        <v>13348</v>
      </c>
      <c r="AP958" t="s">
        <v>74</v>
      </c>
      <c r="AQ958" t="s">
        <v>74</v>
      </c>
      <c r="AR958" t="s">
        <v>13349</v>
      </c>
      <c r="AS958" t="s">
        <v>13350</v>
      </c>
      <c r="AT958" t="s">
        <v>74</v>
      </c>
      <c r="AU958">
        <v>2003</v>
      </c>
      <c r="AV958">
        <v>25</v>
      </c>
      <c r="AW958" t="s">
        <v>74</v>
      </c>
      <c r="AX958" t="s">
        <v>74</v>
      </c>
      <c r="AY958" t="s">
        <v>74</v>
      </c>
      <c r="AZ958" t="s">
        <v>74</v>
      </c>
      <c r="BA958" t="s">
        <v>74</v>
      </c>
      <c r="BB958">
        <v>427</v>
      </c>
      <c r="BC958">
        <v>440</v>
      </c>
      <c r="BD958" t="s">
        <v>74</v>
      </c>
      <c r="BE958" t="s">
        <v>13351</v>
      </c>
      <c r="BF958" t="str">
        <f>HYPERLINK("http://dx.doi.org/10.2989/18142320309504032","http://dx.doi.org/10.2989/18142320309504032")</f>
        <v>http://dx.doi.org/10.2989/18142320309504032</v>
      </c>
      <c r="BG958" t="s">
        <v>74</v>
      </c>
      <c r="BH958" t="s">
        <v>74</v>
      </c>
      <c r="BI958">
        <v>14</v>
      </c>
      <c r="BJ958" t="s">
        <v>235</v>
      </c>
      <c r="BK958" t="s">
        <v>94</v>
      </c>
      <c r="BL958" t="s">
        <v>235</v>
      </c>
      <c r="BM958" t="s">
        <v>13352</v>
      </c>
      <c r="BN958" t="s">
        <v>74</v>
      </c>
      <c r="BO958" t="s">
        <v>96</v>
      </c>
      <c r="BP958" t="s">
        <v>74</v>
      </c>
      <c r="BQ958" t="s">
        <v>74</v>
      </c>
      <c r="BR958" t="s">
        <v>97</v>
      </c>
      <c r="BS958" t="s">
        <v>13353</v>
      </c>
      <c r="BT958" t="str">
        <f>HYPERLINK("https%3A%2F%2Fwww.webofscience.com%2Fwos%2Fwoscc%2Ffull-record%2FWOS:000187197700038","View Full Record in Web of Science")</f>
        <v>View Full Record in Web of Science</v>
      </c>
    </row>
    <row r="959" spans="1:72" x14ac:dyDescent="0.15">
      <c r="A959" t="s">
        <v>72</v>
      </c>
      <c r="B959" t="s">
        <v>13354</v>
      </c>
      <c r="C959" t="s">
        <v>74</v>
      </c>
      <c r="D959" t="s">
        <v>74</v>
      </c>
      <c r="E959" t="s">
        <v>74</v>
      </c>
      <c r="F959" t="s">
        <v>13354</v>
      </c>
      <c r="G959" t="s">
        <v>74</v>
      </c>
      <c r="H959" t="s">
        <v>74</v>
      </c>
      <c r="I959" t="s">
        <v>13355</v>
      </c>
      <c r="J959" t="s">
        <v>13337</v>
      </c>
      <c r="K959" t="s">
        <v>74</v>
      </c>
      <c r="L959" t="s">
        <v>74</v>
      </c>
      <c r="M959" t="s">
        <v>77</v>
      </c>
      <c r="N959" t="s">
        <v>78</v>
      </c>
      <c r="O959" t="s">
        <v>74</v>
      </c>
      <c r="P959" t="s">
        <v>74</v>
      </c>
      <c r="Q959" t="s">
        <v>74</v>
      </c>
      <c r="R959" t="s">
        <v>74</v>
      </c>
      <c r="S959" t="s">
        <v>74</v>
      </c>
      <c r="T959" t="s">
        <v>13356</v>
      </c>
      <c r="U959" t="s">
        <v>13357</v>
      </c>
      <c r="V959" t="s">
        <v>13358</v>
      </c>
      <c r="W959" t="s">
        <v>13359</v>
      </c>
      <c r="X959" t="s">
        <v>13360</v>
      </c>
      <c r="Y959" t="s">
        <v>13361</v>
      </c>
      <c r="Z959" t="s">
        <v>74</v>
      </c>
      <c r="AA959" t="s">
        <v>13362</v>
      </c>
      <c r="AB959" t="s">
        <v>1393</v>
      </c>
      <c r="AC959" t="s">
        <v>74</v>
      </c>
      <c r="AD959" t="s">
        <v>74</v>
      </c>
      <c r="AE959" t="s">
        <v>74</v>
      </c>
      <c r="AF959" t="s">
        <v>74</v>
      </c>
      <c r="AG959">
        <v>21</v>
      </c>
      <c r="AH959">
        <v>30</v>
      </c>
      <c r="AI959">
        <v>34</v>
      </c>
      <c r="AJ959">
        <v>1</v>
      </c>
      <c r="AK959">
        <v>9</v>
      </c>
      <c r="AL959" t="s">
        <v>13345</v>
      </c>
      <c r="AM959" t="s">
        <v>13346</v>
      </c>
      <c r="AN959" t="s">
        <v>13347</v>
      </c>
      <c r="AO959" t="s">
        <v>13348</v>
      </c>
      <c r="AP959" t="s">
        <v>74</v>
      </c>
      <c r="AQ959" t="s">
        <v>74</v>
      </c>
      <c r="AR959" t="s">
        <v>13349</v>
      </c>
      <c r="AS959" t="s">
        <v>13350</v>
      </c>
      <c r="AT959" t="s">
        <v>74</v>
      </c>
      <c r="AU959">
        <v>2003</v>
      </c>
      <c r="AV959">
        <v>25</v>
      </c>
      <c r="AW959" t="s">
        <v>74</v>
      </c>
      <c r="AX959" t="s">
        <v>74</v>
      </c>
      <c r="AY959" t="s">
        <v>74</v>
      </c>
      <c r="AZ959" t="s">
        <v>74</v>
      </c>
      <c r="BA959" t="s">
        <v>74</v>
      </c>
      <c r="BB959">
        <v>549</v>
      </c>
      <c r="BC959">
        <v>554</v>
      </c>
      <c r="BD959" t="s">
        <v>74</v>
      </c>
      <c r="BE959" t="s">
        <v>13363</v>
      </c>
      <c r="BF959" t="str">
        <f>HYPERLINK("http://dx.doi.org/10.2989/18142320309504044","http://dx.doi.org/10.2989/18142320309504044")</f>
        <v>http://dx.doi.org/10.2989/18142320309504044</v>
      </c>
      <c r="BG959" t="s">
        <v>74</v>
      </c>
      <c r="BH959" t="s">
        <v>74</v>
      </c>
      <c r="BI959">
        <v>6</v>
      </c>
      <c r="BJ959" t="s">
        <v>235</v>
      </c>
      <c r="BK959" t="s">
        <v>94</v>
      </c>
      <c r="BL959" t="s">
        <v>235</v>
      </c>
      <c r="BM959" t="s">
        <v>13352</v>
      </c>
      <c r="BN959" t="s">
        <v>74</v>
      </c>
      <c r="BO959" t="s">
        <v>96</v>
      </c>
      <c r="BP959" t="s">
        <v>74</v>
      </c>
      <c r="BQ959" t="s">
        <v>74</v>
      </c>
      <c r="BR959" t="s">
        <v>97</v>
      </c>
      <c r="BS959" t="s">
        <v>13364</v>
      </c>
      <c r="BT959" t="str">
        <f>HYPERLINK("https%3A%2F%2Fwww.webofscience.com%2Fwos%2Fwoscc%2Ffull-record%2FWOS:000187197700050","View Full Record in Web of Science")</f>
        <v>View Full Record in Web of Science</v>
      </c>
    </row>
    <row r="960" spans="1:72" x14ac:dyDescent="0.15">
      <c r="A960" t="s">
        <v>72</v>
      </c>
      <c r="B960" t="s">
        <v>13365</v>
      </c>
      <c r="C960" t="s">
        <v>74</v>
      </c>
      <c r="D960" t="s">
        <v>74</v>
      </c>
      <c r="E960" t="s">
        <v>74</v>
      </c>
      <c r="F960" t="s">
        <v>13365</v>
      </c>
      <c r="G960" t="s">
        <v>74</v>
      </c>
      <c r="H960" t="s">
        <v>74</v>
      </c>
      <c r="I960" t="s">
        <v>13366</v>
      </c>
      <c r="J960" t="s">
        <v>13367</v>
      </c>
      <c r="K960" t="s">
        <v>74</v>
      </c>
      <c r="L960" t="s">
        <v>74</v>
      </c>
      <c r="M960" t="s">
        <v>77</v>
      </c>
      <c r="N960" t="s">
        <v>78</v>
      </c>
      <c r="O960" t="s">
        <v>74</v>
      </c>
      <c r="P960" t="s">
        <v>74</v>
      </c>
      <c r="Q960" t="s">
        <v>74</v>
      </c>
      <c r="R960" t="s">
        <v>74</v>
      </c>
      <c r="S960" t="s">
        <v>74</v>
      </c>
      <c r="T960" t="s">
        <v>13368</v>
      </c>
      <c r="U960" t="s">
        <v>13369</v>
      </c>
      <c r="V960" t="s">
        <v>13370</v>
      </c>
      <c r="W960" t="s">
        <v>13371</v>
      </c>
      <c r="X960" t="s">
        <v>13372</v>
      </c>
      <c r="Y960" t="s">
        <v>13373</v>
      </c>
      <c r="Z960" t="s">
        <v>74</v>
      </c>
      <c r="AA960" t="s">
        <v>13374</v>
      </c>
      <c r="AB960" t="s">
        <v>74</v>
      </c>
      <c r="AC960" t="s">
        <v>74</v>
      </c>
      <c r="AD960" t="s">
        <v>74</v>
      </c>
      <c r="AE960" t="s">
        <v>74</v>
      </c>
      <c r="AF960" t="s">
        <v>74</v>
      </c>
      <c r="AG960">
        <v>34</v>
      </c>
      <c r="AH960">
        <v>5</v>
      </c>
      <c r="AI960">
        <v>5</v>
      </c>
      <c r="AJ960">
        <v>0</v>
      </c>
      <c r="AK960">
        <v>1</v>
      </c>
      <c r="AL960" t="s">
        <v>13375</v>
      </c>
      <c r="AM960" t="s">
        <v>13376</v>
      </c>
      <c r="AN960" t="s">
        <v>13377</v>
      </c>
      <c r="AO960" t="s">
        <v>13378</v>
      </c>
      <c r="AP960" t="s">
        <v>74</v>
      </c>
      <c r="AQ960" t="s">
        <v>74</v>
      </c>
      <c r="AR960" t="s">
        <v>13367</v>
      </c>
      <c r="AS960" t="s">
        <v>13379</v>
      </c>
      <c r="AT960" t="s">
        <v>74</v>
      </c>
      <c r="AU960">
        <v>2003</v>
      </c>
      <c r="AV960">
        <v>27</v>
      </c>
      <c r="AW960" t="s">
        <v>787</v>
      </c>
      <c r="AX960" t="s">
        <v>74</v>
      </c>
      <c r="AY960" t="s">
        <v>74</v>
      </c>
      <c r="AZ960" t="s">
        <v>74</v>
      </c>
      <c r="BA960" t="s">
        <v>74</v>
      </c>
      <c r="BB960">
        <v>85</v>
      </c>
      <c r="BC960">
        <v>91</v>
      </c>
      <c r="BD960" t="s">
        <v>74</v>
      </c>
      <c r="BE960" t="s">
        <v>74</v>
      </c>
      <c r="BF960" t="s">
        <v>74</v>
      </c>
      <c r="BG960" t="s">
        <v>74</v>
      </c>
      <c r="BH960" t="s">
        <v>74</v>
      </c>
      <c r="BI960">
        <v>7</v>
      </c>
      <c r="BJ960" t="s">
        <v>2219</v>
      </c>
      <c r="BK960" t="s">
        <v>94</v>
      </c>
      <c r="BL960" t="s">
        <v>2219</v>
      </c>
      <c r="BM960" t="s">
        <v>13380</v>
      </c>
      <c r="BN960" t="s">
        <v>74</v>
      </c>
      <c r="BO960" t="s">
        <v>74</v>
      </c>
      <c r="BP960" t="s">
        <v>74</v>
      </c>
      <c r="BQ960" t="s">
        <v>74</v>
      </c>
      <c r="BR960" t="s">
        <v>97</v>
      </c>
      <c r="BS960" t="s">
        <v>13381</v>
      </c>
      <c r="BT960" t="str">
        <f>HYPERLINK("https%3A%2F%2Fwww.webofscience.com%2Fwos%2Fwoscc%2Ffull-record%2FWOS:000184045500008","View Full Record in Web of Science")</f>
        <v>View Full Record in Web of Science</v>
      </c>
    </row>
    <row r="961" spans="1:72" x14ac:dyDescent="0.15">
      <c r="A961" t="s">
        <v>72</v>
      </c>
      <c r="B961" t="s">
        <v>13382</v>
      </c>
      <c r="C961" t="s">
        <v>74</v>
      </c>
      <c r="D961" t="s">
        <v>74</v>
      </c>
      <c r="E961" t="s">
        <v>74</v>
      </c>
      <c r="F961" t="s">
        <v>13382</v>
      </c>
      <c r="G961" t="s">
        <v>74</v>
      </c>
      <c r="H961" t="s">
        <v>74</v>
      </c>
      <c r="I961" t="s">
        <v>13383</v>
      </c>
      <c r="J961" t="s">
        <v>13367</v>
      </c>
      <c r="K961" t="s">
        <v>74</v>
      </c>
      <c r="L961" t="s">
        <v>74</v>
      </c>
      <c r="M961" t="s">
        <v>77</v>
      </c>
      <c r="N961" t="s">
        <v>78</v>
      </c>
      <c r="O961" t="s">
        <v>74</v>
      </c>
      <c r="P961" t="s">
        <v>74</v>
      </c>
      <c r="Q961" t="s">
        <v>74</v>
      </c>
      <c r="R961" t="s">
        <v>74</v>
      </c>
      <c r="S961" t="s">
        <v>74</v>
      </c>
      <c r="T961" t="s">
        <v>13384</v>
      </c>
      <c r="U961" t="s">
        <v>13385</v>
      </c>
      <c r="V961" t="s">
        <v>13386</v>
      </c>
      <c r="W961" t="s">
        <v>13387</v>
      </c>
      <c r="X961" t="s">
        <v>13388</v>
      </c>
      <c r="Y961" t="s">
        <v>3968</v>
      </c>
      <c r="Z961" t="s">
        <v>74</v>
      </c>
      <c r="AA961" t="s">
        <v>13389</v>
      </c>
      <c r="AB961" t="s">
        <v>13390</v>
      </c>
      <c r="AC961" t="s">
        <v>74</v>
      </c>
      <c r="AD961" t="s">
        <v>74</v>
      </c>
      <c r="AE961" t="s">
        <v>74</v>
      </c>
      <c r="AF961" t="s">
        <v>74</v>
      </c>
      <c r="AG961">
        <v>15</v>
      </c>
      <c r="AH961">
        <v>6</v>
      </c>
      <c r="AI961">
        <v>6</v>
      </c>
      <c r="AJ961">
        <v>1</v>
      </c>
      <c r="AK961">
        <v>5</v>
      </c>
      <c r="AL961" t="s">
        <v>13375</v>
      </c>
      <c r="AM961" t="s">
        <v>13376</v>
      </c>
      <c r="AN961" t="s">
        <v>13377</v>
      </c>
      <c r="AO961" t="s">
        <v>13378</v>
      </c>
      <c r="AP961" t="s">
        <v>74</v>
      </c>
      <c r="AQ961" t="s">
        <v>74</v>
      </c>
      <c r="AR961" t="s">
        <v>13367</v>
      </c>
      <c r="AS961" t="s">
        <v>13379</v>
      </c>
      <c r="AT961" t="s">
        <v>74</v>
      </c>
      <c r="AU961">
        <v>2003</v>
      </c>
      <c r="AV961">
        <v>27</v>
      </c>
      <c r="AW961" t="s">
        <v>787</v>
      </c>
      <c r="AX961" t="s">
        <v>74</v>
      </c>
      <c r="AY961" t="s">
        <v>74</v>
      </c>
      <c r="AZ961" t="s">
        <v>74</v>
      </c>
      <c r="BA961" t="s">
        <v>74</v>
      </c>
      <c r="BB961">
        <v>135</v>
      </c>
      <c r="BC961">
        <v>153</v>
      </c>
      <c r="BD961" t="s">
        <v>74</v>
      </c>
      <c r="BE961" t="s">
        <v>13391</v>
      </c>
      <c r="BF961" t="str">
        <f>HYPERLINK("http://dx.doi.org/10.1080/03115510308619554","http://dx.doi.org/10.1080/03115510308619554")</f>
        <v>http://dx.doi.org/10.1080/03115510308619554</v>
      </c>
      <c r="BG961" t="s">
        <v>74</v>
      </c>
      <c r="BH961" t="s">
        <v>74</v>
      </c>
      <c r="BI961">
        <v>19</v>
      </c>
      <c r="BJ961" t="s">
        <v>2219</v>
      </c>
      <c r="BK961" t="s">
        <v>94</v>
      </c>
      <c r="BL961" t="s">
        <v>2219</v>
      </c>
      <c r="BM961" t="s">
        <v>13380</v>
      </c>
      <c r="BN961" t="s">
        <v>74</v>
      </c>
      <c r="BO961" t="s">
        <v>74</v>
      </c>
      <c r="BP961" t="s">
        <v>74</v>
      </c>
      <c r="BQ961" t="s">
        <v>74</v>
      </c>
      <c r="BR961" t="s">
        <v>97</v>
      </c>
      <c r="BS961" t="s">
        <v>13392</v>
      </c>
      <c r="BT961" t="str">
        <f>HYPERLINK("https%3A%2F%2Fwww.webofscience.com%2Fwos%2Fwoscc%2Ffull-record%2FWOS:000184045500013","View Full Record in Web of Science")</f>
        <v>View Full Record in Web of Science</v>
      </c>
    </row>
    <row r="962" spans="1:72" x14ac:dyDescent="0.15">
      <c r="A962" t="s">
        <v>13166</v>
      </c>
      <c r="B962" t="s">
        <v>13393</v>
      </c>
      <c r="C962" t="s">
        <v>74</v>
      </c>
      <c r="D962" t="s">
        <v>13394</v>
      </c>
      <c r="E962" t="s">
        <v>74</v>
      </c>
      <c r="F962" t="s">
        <v>13393</v>
      </c>
      <c r="G962" t="s">
        <v>74</v>
      </c>
      <c r="H962" t="s">
        <v>74</v>
      </c>
      <c r="I962" t="s">
        <v>13395</v>
      </c>
      <c r="J962" t="s">
        <v>13396</v>
      </c>
      <c r="K962" t="s">
        <v>13397</v>
      </c>
      <c r="L962" t="s">
        <v>74</v>
      </c>
      <c r="M962" t="s">
        <v>77</v>
      </c>
      <c r="N962" t="s">
        <v>13171</v>
      </c>
      <c r="O962" t="s">
        <v>13398</v>
      </c>
      <c r="P962" t="s">
        <v>13399</v>
      </c>
      <c r="Q962" t="s">
        <v>13400</v>
      </c>
      <c r="R962" t="s">
        <v>74</v>
      </c>
      <c r="S962" t="s">
        <v>74</v>
      </c>
      <c r="T962" t="s">
        <v>13401</v>
      </c>
      <c r="U962" t="s">
        <v>13402</v>
      </c>
      <c r="V962" t="s">
        <v>13403</v>
      </c>
      <c r="W962" t="s">
        <v>13404</v>
      </c>
      <c r="X962" t="s">
        <v>2780</v>
      </c>
      <c r="Y962" t="s">
        <v>13405</v>
      </c>
      <c r="Z962" t="s">
        <v>13406</v>
      </c>
      <c r="AA962" t="s">
        <v>13407</v>
      </c>
      <c r="AB962" t="s">
        <v>13408</v>
      </c>
      <c r="AC962" t="s">
        <v>74</v>
      </c>
      <c r="AD962" t="s">
        <v>74</v>
      </c>
      <c r="AE962" t="s">
        <v>74</v>
      </c>
      <c r="AF962" t="s">
        <v>74</v>
      </c>
      <c r="AG962">
        <v>11</v>
      </c>
      <c r="AH962">
        <v>5</v>
      </c>
      <c r="AI962">
        <v>5</v>
      </c>
      <c r="AJ962">
        <v>0</v>
      </c>
      <c r="AK962">
        <v>0</v>
      </c>
      <c r="AL962" t="s">
        <v>13409</v>
      </c>
      <c r="AM962" t="s">
        <v>13410</v>
      </c>
      <c r="AN962" t="s">
        <v>13411</v>
      </c>
      <c r="AO962" t="s">
        <v>13412</v>
      </c>
      <c r="AP962" t="s">
        <v>13413</v>
      </c>
      <c r="AQ962" t="s">
        <v>13414</v>
      </c>
      <c r="AR962" t="s">
        <v>13415</v>
      </c>
      <c r="AS962" t="s">
        <v>74</v>
      </c>
      <c r="AT962" t="s">
        <v>74</v>
      </c>
      <c r="AU962">
        <v>2003</v>
      </c>
      <c r="AV962">
        <v>5147</v>
      </c>
      <c r="AW962" t="s">
        <v>74</v>
      </c>
      <c r="AX962" t="s">
        <v>74</v>
      </c>
      <c r="AY962" t="s">
        <v>74</v>
      </c>
      <c r="AZ962" t="s">
        <v>74</v>
      </c>
      <c r="BA962" t="s">
        <v>74</v>
      </c>
      <c r="BB962">
        <v>140</v>
      </c>
      <c r="BC962">
        <v>147</v>
      </c>
      <c r="BD962" t="s">
        <v>74</v>
      </c>
      <c r="BE962" t="s">
        <v>13416</v>
      </c>
      <c r="BF962" t="str">
        <f>HYPERLINK("http://dx.doi.org/10.1117/12.537500","http://dx.doi.org/10.1117/12.537500")</f>
        <v>http://dx.doi.org/10.1117/12.537500</v>
      </c>
      <c r="BG962" t="s">
        <v>74</v>
      </c>
      <c r="BH962" t="s">
        <v>74</v>
      </c>
      <c r="BI962">
        <v>8</v>
      </c>
      <c r="BJ962" t="s">
        <v>13417</v>
      </c>
      <c r="BK962" t="s">
        <v>13181</v>
      </c>
      <c r="BL962" t="s">
        <v>13418</v>
      </c>
      <c r="BM962" t="s">
        <v>13419</v>
      </c>
      <c r="BN962" t="s">
        <v>74</v>
      </c>
      <c r="BO962" t="s">
        <v>74</v>
      </c>
      <c r="BP962" t="s">
        <v>74</v>
      </c>
      <c r="BQ962" t="s">
        <v>74</v>
      </c>
      <c r="BR962" t="s">
        <v>97</v>
      </c>
      <c r="BS962" t="s">
        <v>13420</v>
      </c>
      <c r="BT962" t="str">
        <f>HYPERLINK("https%3A%2F%2Fwww.webofscience.com%2Fwos%2Fwoscc%2Ffull-record%2FWOS:000187880800015","View Full Record in Web of Science")</f>
        <v>View Full Record in Web of Science</v>
      </c>
    </row>
    <row r="963" spans="1:72" x14ac:dyDescent="0.15">
      <c r="A963" t="s">
        <v>72</v>
      </c>
      <c r="B963" t="s">
        <v>13421</v>
      </c>
      <c r="C963" t="s">
        <v>74</v>
      </c>
      <c r="D963" t="s">
        <v>74</v>
      </c>
      <c r="E963" t="s">
        <v>74</v>
      </c>
      <c r="F963" t="s">
        <v>13421</v>
      </c>
      <c r="G963" t="s">
        <v>74</v>
      </c>
      <c r="H963" t="s">
        <v>74</v>
      </c>
      <c r="I963" t="s">
        <v>13422</v>
      </c>
      <c r="J963" t="s">
        <v>13423</v>
      </c>
      <c r="K963" t="s">
        <v>74</v>
      </c>
      <c r="L963" t="s">
        <v>74</v>
      </c>
      <c r="M963" t="s">
        <v>77</v>
      </c>
      <c r="N963" t="s">
        <v>78</v>
      </c>
      <c r="O963" t="s">
        <v>74</v>
      </c>
      <c r="P963" t="s">
        <v>74</v>
      </c>
      <c r="Q963" t="s">
        <v>74</v>
      </c>
      <c r="R963" t="s">
        <v>74</v>
      </c>
      <c r="S963" t="s">
        <v>74</v>
      </c>
      <c r="T963" t="s">
        <v>74</v>
      </c>
      <c r="U963" t="s">
        <v>13424</v>
      </c>
      <c r="V963" t="s">
        <v>13425</v>
      </c>
      <c r="W963" t="s">
        <v>13426</v>
      </c>
      <c r="X963" t="s">
        <v>13427</v>
      </c>
      <c r="Y963" t="s">
        <v>13428</v>
      </c>
      <c r="Z963" t="s">
        <v>74</v>
      </c>
      <c r="AA963" t="s">
        <v>13429</v>
      </c>
      <c r="AB963" t="s">
        <v>74</v>
      </c>
      <c r="AC963" t="s">
        <v>74</v>
      </c>
      <c r="AD963" t="s">
        <v>74</v>
      </c>
      <c r="AE963" t="s">
        <v>74</v>
      </c>
      <c r="AF963" t="s">
        <v>74</v>
      </c>
      <c r="AG963">
        <v>27</v>
      </c>
      <c r="AH963">
        <v>45</v>
      </c>
      <c r="AI963">
        <v>50</v>
      </c>
      <c r="AJ963">
        <v>0</v>
      </c>
      <c r="AK963">
        <v>18</v>
      </c>
      <c r="AL963" t="s">
        <v>303</v>
      </c>
      <c r="AM963" t="s">
        <v>132</v>
      </c>
      <c r="AN963" t="s">
        <v>304</v>
      </c>
      <c r="AO963" t="s">
        <v>13430</v>
      </c>
      <c r="AP963" t="s">
        <v>74</v>
      </c>
      <c r="AQ963" t="s">
        <v>74</v>
      </c>
      <c r="AR963" t="s">
        <v>13423</v>
      </c>
      <c r="AS963" t="s">
        <v>13431</v>
      </c>
      <c r="AT963" t="s">
        <v>74</v>
      </c>
      <c r="AU963">
        <v>2003</v>
      </c>
      <c r="AV963">
        <v>128</v>
      </c>
      <c r="AW963">
        <v>10</v>
      </c>
      <c r="AX963" t="s">
        <v>74</v>
      </c>
      <c r="AY963" t="s">
        <v>74</v>
      </c>
      <c r="AZ963" t="s">
        <v>74</v>
      </c>
      <c r="BA963" t="s">
        <v>74</v>
      </c>
      <c r="BB963">
        <v>1218</v>
      </c>
      <c r="BC963">
        <v>1221</v>
      </c>
      <c r="BD963" t="s">
        <v>74</v>
      </c>
      <c r="BE963" t="s">
        <v>13432</v>
      </c>
      <c r="BF963" t="str">
        <f>HYPERLINK("http://dx.doi.org/10.1039/b306991p","http://dx.doi.org/10.1039/b306991p")</f>
        <v>http://dx.doi.org/10.1039/b306991p</v>
      </c>
      <c r="BG963" t="s">
        <v>74</v>
      </c>
      <c r="BH963" t="s">
        <v>74</v>
      </c>
      <c r="BI963">
        <v>4</v>
      </c>
      <c r="BJ963" t="s">
        <v>9594</v>
      </c>
      <c r="BK963" t="s">
        <v>94</v>
      </c>
      <c r="BL963" t="s">
        <v>4142</v>
      </c>
      <c r="BM963" t="s">
        <v>13433</v>
      </c>
      <c r="BN963">
        <v>14667155</v>
      </c>
      <c r="BO963" t="s">
        <v>74</v>
      </c>
      <c r="BP963" t="s">
        <v>74</v>
      </c>
      <c r="BQ963" t="s">
        <v>74</v>
      </c>
      <c r="BR963" t="s">
        <v>97</v>
      </c>
      <c r="BS963" t="s">
        <v>13434</v>
      </c>
      <c r="BT963" t="str">
        <f>HYPERLINK("https%3A%2F%2Fwww.webofscience.com%2Fwos%2Fwoscc%2Ffull-record%2FWOS:000186002000003","View Full Record in Web of Science")</f>
        <v>View Full Record in Web of Science</v>
      </c>
    </row>
    <row r="964" spans="1:72" x14ac:dyDescent="0.15">
      <c r="A964" t="s">
        <v>5377</v>
      </c>
      <c r="B964" t="s">
        <v>13435</v>
      </c>
      <c r="C964" t="s">
        <v>74</v>
      </c>
      <c r="D964" t="s">
        <v>13436</v>
      </c>
      <c r="E964" t="s">
        <v>74</v>
      </c>
      <c r="F964" t="s">
        <v>13435</v>
      </c>
      <c r="G964" t="s">
        <v>74</v>
      </c>
      <c r="H964" t="s">
        <v>74</v>
      </c>
      <c r="I964" t="s">
        <v>13437</v>
      </c>
      <c r="J964" t="s">
        <v>13438</v>
      </c>
      <c r="K964" t="s">
        <v>13439</v>
      </c>
      <c r="L964" t="s">
        <v>74</v>
      </c>
      <c r="M964" t="s">
        <v>77</v>
      </c>
      <c r="N964" t="s">
        <v>159</v>
      </c>
      <c r="O964" t="s">
        <v>13440</v>
      </c>
      <c r="P964" t="s">
        <v>4640</v>
      </c>
      <c r="Q964" t="s">
        <v>13441</v>
      </c>
      <c r="R964" t="s">
        <v>74</v>
      </c>
      <c r="S964" t="s">
        <v>74</v>
      </c>
      <c r="T964" t="s">
        <v>74</v>
      </c>
      <c r="U964" t="s">
        <v>13442</v>
      </c>
      <c r="V964" t="s">
        <v>13443</v>
      </c>
      <c r="W964" t="s">
        <v>13444</v>
      </c>
      <c r="X964" t="s">
        <v>13445</v>
      </c>
      <c r="Y964" t="s">
        <v>13446</v>
      </c>
      <c r="Z964" t="s">
        <v>74</v>
      </c>
      <c r="AA964" t="s">
        <v>13447</v>
      </c>
      <c r="AB964" t="s">
        <v>7418</v>
      </c>
      <c r="AC964" t="s">
        <v>13448</v>
      </c>
      <c r="AD964" t="s">
        <v>13449</v>
      </c>
      <c r="AE964" t="s">
        <v>74</v>
      </c>
      <c r="AF964" t="s">
        <v>74</v>
      </c>
      <c r="AG964">
        <v>13</v>
      </c>
      <c r="AH964">
        <v>10</v>
      </c>
      <c r="AI964">
        <v>11</v>
      </c>
      <c r="AJ964">
        <v>1</v>
      </c>
      <c r="AK964">
        <v>4</v>
      </c>
      <c r="AL964" t="s">
        <v>13450</v>
      </c>
      <c r="AM964" t="s">
        <v>132</v>
      </c>
      <c r="AN964" t="s">
        <v>13451</v>
      </c>
      <c r="AO964" t="s">
        <v>13452</v>
      </c>
      <c r="AP964" t="s">
        <v>74</v>
      </c>
      <c r="AQ964" t="s">
        <v>13453</v>
      </c>
      <c r="AR964" t="s">
        <v>13454</v>
      </c>
      <c r="AS964" t="s">
        <v>74</v>
      </c>
      <c r="AT964" t="s">
        <v>74</v>
      </c>
      <c r="AU964">
        <v>2003</v>
      </c>
      <c r="AV964">
        <v>36</v>
      </c>
      <c r="AW964" t="s">
        <v>74</v>
      </c>
      <c r="AX964" t="s">
        <v>74</v>
      </c>
      <c r="AY964" t="s">
        <v>74</v>
      </c>
      <c r="AZ964" t="s">
        <v>74</v>
      </c>
      <c r="BA964" t="s">
        <v>74</v>
      </c>
      <c r="BB964">
        <v>91</v>
      </c>
      <c r="BC964">
        <v>96</v>
      </c>
      <c r="BD964" t="s">
        <v>74</v>
      </c>
      <c r="BE964" t="s">
        <v>13455</v>
      </c>
      <c r="BF964" t="str">
        <f>HYPERLINK("http://dx.doi.org/10.3189/172756403781816248","http://dx.doi.org/10.3189/172756403781816248")</f>
        <v>http://dx.doi.org/10.3189/172756403781816248</v>
      </c>
      <c r="BG964" t="s">
        <v>74</v>
      </c>
      <c r="BH964" t="s">
        <v>74</v>
      </c>
      <c r="BI964">
        <v>6</v>
      </c>
      <c r="BJ964" t="s">
        <v>548</v>
      </c>
      <c r="BK964" t="s">
        <v>854</v>
      </c>
      <c r="BL964" t="s">
        <v>549</v>
      </c>
      <c r="BM964" t="s">
        <v>13456</v>
      </c>
      <c r="BN964" t="s">
        <v>74</v>
      </c>
      <c r="BO964" t="s">
        <v>96</v>
      </c>
      <c r="BP964" t="s">
        <v>74</v>
      </c>
      <c r="BQ964" t="s">
        <v>74</v>
      </c>
      <c r="BR964" t="s">
        <v>97</v>
      </c>
      <c r="BS964" t="s">
        <v>13457</v>
      </c>
      <c r="BT964" t="str">
        <f>HYPERLINK("https%3A%2F%2Fwww.webofscience.com%2Fwos%2Fwoscc%2Ffull-record%2FWOS:000184905100013","View Full Record in Web of Science")</f>
        <v>View Full Record in Web of Science</v>
      </c>
    </row>
    <row r="965" spans="1:72" x14ac:dyDescent="0.15">
      <c r="A965" t="s">
        <v>5377</v>
      </c>
      <c r="B965" t="s">
        <v>13458</v>
      </c>
      <c r="C965" t="s">
        <v>74</v>
      </c>
      <c r="D965" t="s">
        <v>13436</v>
      </c>
      <c r="E965" t="s">
        <v>74</v>
      </c>
      <c r="F965" t="s">
        <v>13458</v>
      </c>
      <c r="G965" t="s">
        <v>74</v>
      </c>
      <c r="H965" t="s">
        <v>74</v>
      </c>
      <c r="I965" t="s">
        <v>13459</v>
      </c>
      <c r="J965" t="s">
        <v>13438</v>
      </c>
      <c r="K965" t="s">
        <v>13439</v>
      </c>
      <c r="L965" t="s">
        <v>74</v>
      </c>
      <c r="M965" t="s">
        <v>77</v>
      </c>
      <c r="N965" t="s">
        <v>159</v>
      </c>
      <c r="O965" t="s">
        <v>13440</v>
      </c>
      <c r="P965" t="s">
        <v>4640</v>
      </c>
      <c r="Q965" t="s">
        <v>13441</v>
      </c>
      <c r="R965" t="s">
        <v>74</v>
      </c>
      <c r="S965" t="s">
        <v>74</v>
      </c>
      <c r="T965" t="s">
        <v>74</v>
      </c>
      <c r="U965" t="s">
        <v>13460</v>
      </c>
      <c r="V965" t="s">
        <v>13461</v>
      </c>
      <c r="W965" t="s">
        <v>4686</v>
      </c>
      <c r="X965" t="s">
        <v>706</v>
      </c>
      <c r="Y965" t="s">
        <v>13462</v>
      </c>
      <c r="Z965" t="s">
        <v>74</v>
      </c>
      <c r="AA965" t="s">
        <v>12915</v>
      </c>
      <c r="AB965" t="s">
        <v>13463</v>
      </c>
      <c r="AC965" t="s">
        <v>13448</v>
      </c>
      <c r="AD965" t="s">
        <v>13449</v>
      </c>
      <c r="AE965" t="s">
        <v>74</v>
      </c>
      <c r="AF965" t="s">
        <v>74</v>
      </c>
      <c r="AG965">
        <v>32</v>
      </c>
      <c r="AH965">
        <v>48</v>
      </c>
      <c r="AI965">
        <v>53</v>
      </c>
      <c r="AJ965">
        <v>1</v>
      </c>
      <c r="AK965">
        <v>9</v>
      </c>
      <c r="AL965" t="s">
        <v>13450</v>
      </c>
      <c r="AM965" t="s">
        <v>132</v>
      </c>
      <c r="AN965" t="s">
        <v>13451</v>
      </c>
      <c r="AO965" t="s">
        <v>13452</v>
      </c>
      <c r="AP965" t="s">
        <v>74</v>
      </c>
      <c r="AQ965" t="s">
        <v>13453</v>
      </c>
      <c r="AR965" t="s">
        <v>13454</v>
      </c>
      <c r="AS965" t="s">
        <v>74</v>
      </c>
      <c r="AT965" t="s">
        <v>74</v>
      </c>
      <c r="AU965">
        <v>2003</v>
      </c>
      <c r="AV965">
        <v>36</v>
      </c>
      <c r="AW965" t="s">
        <v>74</v>
      </c>
      <c r="AX965" t="s">
        <v>74</v>
      </c>
      <c r="AY965" t="s">
        <v>74</v>
      </c>
      <c r="AZ965" t="s">
        <v>74</v>
      </c>
      <c r="BA965" t="s">
        <v>74</v>
      </c>
      <c r="BB965">
        <v>225</v>
      </c>
      <c r="BC965">
        <v>232</v>
      </c>
      <c r="BD965" t="s">
        <v>74</v>
      </c>
      <c r="BE965" t="s">
        <v>13464</v>
      </c>
      <c r="BF965" t="str">
        <f>HYPERLINK("http://dx.doi.org/10.3189/172756403781816437","http://dx.doi.org/10.3189/172756403781816437")</f>
        <v>http://dx.doi.org/10.3189/172756403781816437</v>
      </c>
      <c r="BG965" t="s">
        <v>74</v>
      </c>
      <c r="BH965" t="s">
        <v>74</v>
      </c>
      <c r="BI965">
        <v>8</v>
      </c>
      <c r="BJ965" t="s">
        <v>548</v>
      </c>
      <c r="BK965" t="s">
        <v>854</v>
      </c>
      <c r="BL965" t="s">
        <v>549</v>
      </c>
      <c r="BM965" t="s">
        <v>13456</v>
      </c>
      <c r="BN965" t="s">
        <v>74</v>
      </c>
      <c r="BO965" t="s">
        <v>96</v>
      </c>
      <c r="BP965" t="s">
        <v>74</v>
      </c>
      <c r="BQ965" t="s">
        <v>74</v>
      </c>
      <c r="BR965" t="s">
        <v>97</v>
      </c>
      <c r="BS965" t="s">
        <v>13465</v>
      </c>
      <c r="BT965" t="str">
        <f>HYPERLINK("https%3A%2F%2Fwww.webofscience.com%2Fwos%2Fwoscc%2Ffull-record%2FWOS:000184905100031","View Full Record in Web of Science")</f>
        <v>View Full Record in Web of Science</v>
      </c>
    </row>
    <row r="966" spans="1:72" x14ac:dyDescent="0.15">
      <c r="A966" t="s">
        <v>5377</v>
      </c>
      <c r="B966" t="s">
        <v>8794</v>
      </c>
      <c r="C966" t="s">
        <v>74</v>
      </c>
      <c r="D966" t="s">
        <v>13436</v>
      </c>
      <c r="E966" t="s">
        <v>74</v>
      </c>
      <c r="F966" t="s">
        <v>8794</v>
      </c>
      <c r="G966" t="s">
        <v>74</v>
      </c>
      <c r="H966" t="s">
        <v>74</v>
      </c>
      <c r="I966" t="s">
        <v>13466</v>
      </c>
      <c r="J966" t="s">
        <v>13438</v>
      </c>
      <c r="K966" t="s">
        <v>13467</v>
      </c>
      <c r="L966" t="s">
        <v>74</v>
      </c>
      <c r="M966" t="s">
        <v>77</v>
      </c>
      <c r="N966" t="s">
        <v>159</v>
      </c>
      <c r="O966" t="s">
        <v>13440</v>
      </c>
      <c r="P966" t="s">
        <v>4640</v>
      </c>
      <c r="Q966" t="s">
        <v>13468</v>
      </c>
      <c r="R966" t="s">
        <v>74</v>
      </c>
      <c r="S966" t="s">
        <v>74</v>
      </c>
      <c r="T966" t="s">
        <v>74</v>
      </c>
      <c r="U966" t="s">
        <v>13469</v>
      </c>
      <c r="V966" t="s">
        <v>13470</v>
      </c>
      <c r="W966" t="s">
        <v>8799</v>
      </c>
      <c r="X966" t="s">
        <v>8800</v>
      </c>
      <c r="Y966" t="s">
        <v>13471</v>
      </c>
      <c r="Z966" t="s">
        <v>13472</v>
      </c>
      <c r="AA966" t="s">
        <v>8803</v>
      </c>
      <c r="AB966" t="s">
        <v>8804</v>
      </c>
      <c r="AC966" t="s">
        <v>74</v>
      </c>
      <c r="AD966" t="s">
        <v>74</v>
      </c>
      <c r="AE966" t="s">
        <v>74</v>
      </c>
      <c r="AF966" t="s">
        <v>74</v>
      </c>
      <c r="AG966">
        <v>64</v>
      </c>
      <c r="AH966">
        <v>44</v>
      </c>
      <c r="AI966">
        <v>45</v>
      </c>
      <c r="AJ966">
        <v>3</v>
      </c>
      <c r="AK966">
        <v>12</v>
      </c>
      <c r="AL966" t="s">
        <v>13450</v>
      </c>
      <c r="AM966" t="s">
        <v>132</v>
      </c>
      <c r="AN966" t="s">
        <v>13451</v>
      </c>
      <c r="AO966" t="s">
        <v>13452</v>
      </c>
      <c r="AP966" t="s">
        <v>74</v>
      </c>
      <c r="AQ966" t="s">
        <v>13453</v>
      </c>
      <c r="AR966" t="s">
        <v>13473</v>
      </c>
      <c r="AS966" t="s">
        <v>74</v>
      </c>
      <c r="AT966" t="s">
        <v>74</v>
      </c>
      <c r="AU966">
        <v>2003</v>
      </c>
      <c r="AV966">
        <v>36</v>
      </c>
      <c r="AW966" t="s">
        <v>74</v>
      </c>
      <c r="AX966" t="s">
        <v>74</v>
      </c>
      <c r="AY966" t="s">
        <v>74</v>
      </c>
      <c r="AZ966" t="s">
        <v>74</v>
      </c>
      <c r="BA966" t="s">
        <v>74</v>
      </c>
      <c r="BB966">
        <v>233</v>
      </c>
      <c r="BC966">
        <v>243</v>
      </c>
      <c r="BD966" t="s">
        <v>74</v>
      </c>
      <c r="BE966" t="s">
        <v>13474</v>
      </c>
      <c r="BF966" t="str">
        <f>HYPERLINK("http://dx.doi.org/10.3189/172756403781816211","http://dx.doi.org/10.3189/172756403781816211")</f>
        <v>http://dx.doi.org/10.3189/172756403781816211</v>
      </c>
      <c r="BG966" t="s">
        <v>74</v>
      </c>
      <c r="BH966" t="s">
        <v>74</v>
      </c>
      <c r="BI966">
        <v>11</v>
      </c>
      <c r="BJ966" t="s">
        <v>548</v>
      </c>
      <c r="BK966" t="s">
        <v>854</v>
      </c>
      <c r="BL966" t="s">
        <v>549</v>
      </c>
      <c r="BM966" t="s">
        <v>13456</v>
      </c>
      <c r="BN966" t="s">
        <v>74</v>
      </c>
      <c r="BO966" t="s">
        <v>96</v>
      </c>
      <c r="BP966" t="s">
        <v>74</v>
      </c>
      <c r="BQ966" t="s">
        <v>74</v>
      </c>
      <c r="BR966" t="s">
        <v>97</v>
      </c>
      <c r="BS966" t="s">
        <v>13475</v>
      </c>
      <c r="BT966" t="str">
        <f>HYPERLINK("https%3A%2F%2Fwww.webofscience.com%2Fwos%2Fwoscc%2Ffull-record%2FWOS:000184905100032","View Full Record in Web of Science")</f>
        <v>View Full Record in Web of Science</v>
      </c>
    </row>
    <row r="967" spans="1:72" x14ac:dyDescent="0.15">
      <c r="A967" t="s">
        <v>5377</v>
      </c>
      <c r="B967" t="s">
        <v>13476</v>
      </c>
      <c r="C967" t="s">
        <v>74</v>
      </c>
      <c r="D967" t="s">
        <v>13436</v>
      </c>
      <c r="E967" t="s">
        <v>74</v>
      </c>
      <c r="F967" t="s">
        <v>13476</v>
      </c>
      <c r="G967" t="s">
        <v>74</v>
      </c>
      <c r="H967" t="s">
        <v>74</v>
      </c>
      <c r="I967" t="s">
        <v>13477</v>
      </c>
      <c r="J967" t="s">
        <v>13438</v>
      </c>
      <c r="K967" t="s">
        <v>13439</v>
      </c>
      <c r="L967" t="s">
        <v>74</v>
      </c>
      <c r="M967" t="s">
        <v>77</v>
      </c>
      <c r="N967" t="s">
        <v>159</v>
      </c>
      <c r="O967" t="s">
        <v>13440</v>
      </c>
      <c r="P967" t="s">
        <v>4640</v>
      </c>
      <c r="Q967" t="s">
        <v>13441</v>
      </c>
      <c r="R967" t="s">
        <v>74</v>
      </c>
      <c r="S967" t="s">
        <v>74</v>
      </c>
      <c r="T967" t="s">
        <v>74</v>
      </c>
      <c r="U967" t="s">
        <v>13478</v>
      </c>
      <c r="V967" t="s">
        <v>13479</v>
      </c>
      <c r="W967" t="s">
        <v>13480</v>
      </c>
      <c r="X967" t="s">
        <v>13481</v>
      </c>
      <c r="Y967" t="s">
        <v>13482</v>
      </c>
      <c r="Z967" t="s">
        <v>13483</v>
      </c>
      <c r="AA967" t="s">
        <v>13484</v>
      </c>
      <c r="AB967" t="s">
        <v>13485</v>
      </c>
      <c r="AC967" t="s">
        <v>74</v>
      </c>
      <c r="AD967" t="s">
        <v>74</v>
      </c>
      <c r="AE967" t="s">
        <v>74</v>
      </c>
      <c r="AF967" t="s">
        <v>74</v>
      </c>
      <c r="AG967">
        <v>31</v>
      </c>
      <c r="AH967">
        <v>8</v>
      </c>
      <c r="AI967">
        <v>10</v>
      </c>
      <c r="AJ967">
        <v>1</v>
      </c>
      <c r="AK967">
        <v>8</v>
      </c>
      <c r="AL967" t="s">
        <v>13450</v>
      </c>
      <c r="AM967" t="s">
        <v>132</v>
      </c>
      <c r="AN967" t="s">
        <v>13451</v>
      </c>
      <c r="AO967" t="s">
        <v>13452</v>
      </c>
      <c r="AP967" t="s">
        <v>74</v>
      </c>
      <c r="AQ967" t="s">
        <v>13453</v>
      </c>
      <c r="AR967" t="s">
        <v>13454</v>
      </c>
      <c r="AS967" t="s">
        <v>74</v>
      </c>
      <c r="AT967" t="s">
        <v>74</v>
      </c>
      <c r="AU967">
        <v>2003</v>
      </c>
      <c r="AV967">
        <v>36</v>
      </c>
      <c r="AW967" t="s">
        <v>74</v>
      </c>
      <c r="AX967" t="s">
        <v>74</v>
      </c>
      <c r="AY967" t="s">
        <v>74</v>
      </c>
      <c r="AZ967" t="s">
        <v>74</v>
      </c>
      <c r="BA967" t="s">
        <v>74</v>
      </c>
      <c r="BB967">
        <v>244</v>
      </c>
      <c r="BC967">
        <v>250</v>
      </c>
      <c r="BD967" t="s">
        <v>74</v>
      </c>
      <c r="BE967" t="s">
        <v>13486</v>
      </c>
      <c r="BF967" t="str">
        <f>HYPERLINK("http://dx.doi.org/10.3189/172756403781816194","http://dx.doi.org/10.3189/172756403781816194")</f>
        <v>http://dx.doi.org/10.3189/172756403781816194</v>
      </c>
      <c r="BG967" t="s">
        <v>74</v>
      </c>
      <c r="BH967" t="s">
        <v>74</v>
      </c>
      <c r="BI967">
        <v>7</v>
      </c>
      <c r="BJ967" t="s">
        <v>548</v>
      </c>
      <c r="BK967" t="s">
        <v>854</v>
      </c>
      <c r="BL967" t="s">
        <v>549</v>
      </c>
      <c r="BM967" t="s">
        <v>13456</v>
      </c>
      <c r="BN967" t="s">
        <v>74</v>
      </c>
      <c r="BO967" t="s">
        <v>551</v>
      </c>
      <c r="BP967" t="s">
        <v>74</v>
      </c>
      <c r="BQ967" t="s">
        <v>74</v>
      </c>
      <c r="BR967" t="s">
        <v>97</v>
      </c>
      <c r="BS967" t="s">
        <v>13487</v>
      </c>
      <c r="BT967" t="str">
        <f>HYPERLINK("https%3A%2F%2Fwww.webofscience.com%2Fwos%2Fwoscc%2Ffull-record%2FWOS:000184905100033","View Full Record in Web of Science")</f>
        <v>View Full Record in Web of Science</v>
      </c>
    </row>
    <row r="968" spans="1:72" x14ac:dyDescent="0.15">
      <c r="A968" t="s">
        <v>5377</v>
      </c>
      <c r="B968" t="s">
        <v>13488</v>
      </c>
      <c r="C968" t="s">
        <v>74</v>
      </c>
      <c r="D968" t="s">
        <v>13436</v>
      </c>
      <c r="E968" t="s">
        <v>74</v>
      </c>
      <c r="F968" t="s">
        <v>13488</v>
      </c>
      <c r="G968" t="s">
        <v>74</v>
      </c>
      <c r="H968" t="s">
        <v>74</v>
      </c>
      <c r="I968" t="s">
        <v>13489</v>
      </c>
      <c r="J968" t="s">
        <v>13438</v>
      </c>
      <c r="K968" t="s">
        <v>13467</v>
      </c>
      <c r="L968" t="s">
        <v>74</v>
      </c>
      <c r="M968" t="s">
        <v>77</v>
      </c>
      <c r="N968" t="s">
        <v>159</v>
      </c>
      <c r="O968" t="s">
        <v>13440</v>
      </c>
      <c r="P968" t="s">
        <v>4640</v>
      </c>
      <c r="Q968" t="s">
        <v>13468</v>
      </c>
      <c r="R968" t="s">
        <v>74</v>
      </c>
      <c r="S968" t="s">
        <v>74</v>
      </c>
      <c r="T968" t="s">
        <v>74</v>
      </c>
      <c r="U968" t="s">
        <v>13490</v>
      </c>
      <c r="V968" t="s">
        <v>13491</v>
      </c>
      <c r="W968" t="s">
        <v>13492</v>
      </c>
      <c r="X968" t="s">
        <v>13493</v>
      </c>
      <c r="Y968" t="s">
        <v>13494</v>
      </c>
      <c r="Z968" t="s">
        <v>13495</v>
      </c>
      <c r="AA968" t="s">
        <v>74</v>
      </c>
      <c r="AB968" t="s">
        <v>13496</v>
      </c>
      <c r="AC968" t="s">
        <v>74</v>
      </c>
      <c r="AD968" t="s">
        <v>74</v>
      </c>
      <c r="AE968" t="s">
        <v>74</v>
      </c>
      <c r="AF968" t="s">
        <v>74</v>
      </c>
      <c r="AG968">
        <v>36</v>
      </c>
      <c r="AH968">
        <v>37</v>
      </c>
      <c r="AI968">
        <v>44</v>
      </c>
      <c r="AJ968">
        <v>2</v>
      </c>
      <c r="AK968">
        <v>5</v>
      </c>
      <c r="AL968" t="s">
        <v>13450</v>
      </c>
      <c r="AM968" t="s">
        <v>132</v>
      </c>
      <c r="AN968" t="s">
        <v>13451</v>
      </c>
      <c r="AO968" t="s">
        <v>13452</v>
      </c>
      <c r="AP968" t="s">
        <v>74</v>
      </c>
      <c r="AQ968" t="s">
        <v>13453</v>
      </c>
      <c r="AR968" t="s">
        <v>13473</v>
      </c>
      <c r="AS968" t="s">
        <v>74</v>
      </c>
      <c r="AT968" t="s">
        <v>74</v>
      </c>
      <c r="AU968">
        <v>2003</v>
      </c>
      <c r="AV968">
        <v>36</v>
      </c>
      <c r="AW968" t="s">
        <v>74</v>
      </c>
      <c r="AX968" t="s">
        <v>74</v>
      </c>
      <c r="AY968" t="s">
        <v>74</v>
      </c>
      <c r="AZ968" t="s">
        <v>74</v>
      </c>
      <c r="BA968" t="s">
        <v>74</v>
      </c>
      <c r="BB968">
        <v>251</v>
      </c>
      <c r="BC968">
        <v>256</v>
      </c>
      <c r="BD968" t="s">
        <v>74</v>
      </c>
      <c r="BE968" t="s">
        <v>13497</v>
      </c>
      <c r="BF968" t="str">
        <f>HYPERLINK("http://dx.doi.org/10.3189/172756403781816167","http://dx.doi.org/10.3189/172756403781816167")</f>
        <v>http://dx.doi.org/10.3189/172756403781816167</v>
      </c>
      <c r="BG968" t="s">
        <v>74</v>
      </c>
      <c r="BH968" t="s">
        <v>74</v>
      </c>
      <c r="BI968">
        <v>6</v>
      </c>
      <c r="BJ968" t="s">
        <v>548</v>
      </c>
      <c r="BK968" t="s">
        <v>854</v>
      </c>
      <c r="BL968" t="s">
        <v>549</v>
      </c>
      <c r="BM968" t="s">
        <v>13456</v>
      </c>
      <c r="BN968" t="s">
        <v>74</v>
      </c>
      <c r="BO968" t="s">
        <v>551</v>
      </c>
      <c r="BP968" t="s">
        <v>74</v>
      </c>
      <c r="BQ968" t="s">
        <v>74</v>
      </c>
      <c r="BR968" t="s">
        <v>97</v>
      </c>
      <c r="BS968" t="s">
        <v>13498</v>
      </c>
      <c r="BT968" t="str">
        <f>HYPERLINK("https%3A%2F%2Fwww.webofscience.com%2Fwos%2Fwoscc%2Ffull-record%2FWOS:000184905100034","View Full Record in Web of Science")</f>
        <v>View Full Record in Web of Science</v>
      </c>
    </row>
    <row r="969" spans="1:72" x14ac:dyDescent="0.15">
      <c r="A969" t="s">
        <v>5377</v>
      </c>
      <c r="B969" t="s">
        <v>13499</v>
      </c>
      <c r="C969" t="s">
        <v>74</v>
      </c>
      <c r="D969" t="s">
        <v>13436</v>
      </c>
      <c r="E969" t="s">
        <v>74</v>
      </c>
      <c r="F969" t="s">
        <v>13499</v>
      </c>
      <c r="G969" t="s">
        <v>74</v>
      </c>
      <c r="H969" t="s">
        <v>74</v>
      </c>
      <c r="I969" t="s">
        <v>13500</v>
      </c>
      <c r="J969" t="s">
        <v>13438</v>
      </c>
      <c r="K969" t="s">
        <v>13467</v>
      </c>
      <c r="L969" t="s">
        <v>74</v>
      </c>
      <c r="M969" t="s">
        <v>77</v>
      </c>
      <c r="N969" t="s">
        <v>159</v>
      </c>
      <c r="O969" t="s">
        <v>13440</v>
      </c>
      <c r="P969" t="s">
        <v>4640</v>
      </c>
      <c r="Q969" t="s">
        <v>13468</v>
      </c>
      <c r="R969" t="s">
        <v>74</v>
      </c>
      <c r="S969" t="s">
        <v>74</v>
      </c>
      <c r="T969" t="s">
        <v>74</v>
      </c>
      <c r="U969" t="s">
        <v>13501</v>
      </c>
      <c r="V969" t="s">
        <v>13502</v>
      </c>
      <c r="W969" t="s">
        <v>8784</v>
      </c>
      <c r="X969" t="s">
        <v>13503</v>
      </c>
      <c r="Y969" t="s">
        <v>10531</v>
      </c>
      <c r="Z969" t="s">
        <v>13504</v>
      </c>
      <c r="AA969" t="s">
        <v>13505</v>
      </c>
      <c r="AB969" t="s">
        <v>13506</v>
      </c>
      <c r="AC969" t="s">
        <v>74</v>
      </c>
      <c r="AD969" t="s">
        <v>74</v>
      </c>
      <c r="AE969" t="s">
        <v>74</v>
      </c>
      <c r="AF969" t="s">
        <v>74</v>
      </c>
      <c r="AG969">
        <v>46</v>
      </c>
      <c r="AH969">
        <v>25</v>
      </c>
      <c r="AI969">
        <v>26</v>
      </c>
      <c r="AJ969">
        <v>1</v>
      </c>
      <c r="AK969">
        <v>16</v>
      </c>
      <c r="AL969" t="s">
        <v>13450</v>
      </c>
      <c r="AM969" t="s">
        <v>132</v>
      </c>
      <c r="AN969" t="s">
        <v>13451</v>
      </c>
      <c r="AO969" t="s">
        <v>13452</v>
      </c>
      <c r="AP969" t="s">
        <v>74</v>
      </c>
      <c r="AQ969" t="s">
        <v>13453</v>
      </c>
      <c r="AR969" t="s">
        <v>13473</v>
      </c>
      <c r="AS969" t="s">
        <v>74</v>
      </c>
      <c r="AT969" t="s">
        <v>74</v>
      </c>
      <c r="AU969">
        <v>2003</v>
      </c>
      <c r="AV969">
        <v>36</v>
      </c>
      <c r="AW969" t="s">
        <v>74</v>
      </c>
      <c r="AX969" t="s">
        <v>74</v>
      </c>
      <c r="AY969" t="s">
        <v>74</v>
      </c>
      <c r="AZ969" t="s">
        <v>74</v>
      </c>
      <c r="BA969" t="s">
        <v>74</v>
      </c>
      <c r="BB969">
        <v>273</v>
      </c>
      <c r="BC969">
        <v>282</v>
      </c>
      <c r="BD969" t="s">
        <v>74</v>
      </c>
      <c r="BE969" t="s">
        <v>13507</v>
      </c>
      <c r="BF969" t="str">
        <f>HYPERLINK("http://dx.doi.org/10.3189/172756403781816112","http://dx.doi.org/10.3189/172756403781816112")</f>
        <v>http://dx.doi.org/10.3189/172756403781816112</v>
      </c>
      <c r="BG969" t="s">
        <v>74</v>
      </c>
      <c r="BH969" t="s">
        <v>74</v>
      </c>
      <c r="BI969">
        <v>10</v>
      </c>
      <c r="BJ969" t="s">
        <v>548</v>
      </c>
      <c r="BK969" t="s">
        <v>854</v>
      </c>
      <c r="BL969" t="s">
        <v>549</v>
      </c>
      <c r="BM969" t="s">
        <v>13456</v>
      </c>
      <c r="BN969" t="s">
        <v>74</v>
      </c>
      <c r="BO969" t="s">
        <v>96</v>
      </c>
      <c r="BP969" t="s">
        <v>74</v>
      </c>
      <c r="BQ969" t="s">
        <v>74</v>
      </c>
      <c r="BR969" t="s">
        <v>97</v>
      </c>
      <c r="BS969" t="s">
        <v>13508</v>
      </c>
      <c r="BT969" t="str">
        <f>HYPERLINK("https%3A%2F%2Fwww.webofscience.com%2Fwos%2Fwoscc%2Ffull-record%2FWOS:000184905100037","View Full Record in Web of Science")</f>
        <v>View Full Record in Web of Science</v>
      </c>
    </row>
    <row r="970" spans="1:72" x14ac:dyDescent="0.15">
      <c r="A970" t="s">
        <v>5377</v>
      </c>
      <c r="B970" t="s">
        <v>13509</v>
      </c>
      <c r="C970" t="s">
        <v>74</v>
      </c>
      <c r="D970" t="s">
        <v>13436</v>
      </c>
      <c r="E970" t="s">
        <v>74</v>
      </c>
      <c r="F970" t="s">
        <v>13509</v>
      </c>
      <c r="G970" t="s">
        <v>74</v>
      </c>
      <c r="H970" t="s">
        <v>74</v>
      </c>
      <c r="I970" t="s">
        <v>13510</v>
      </c>
      <c r="J970" t="s">
        <v>13438</v>
      </c>
      <c r="K970" t="s">
        <v>13467</v>
      </c>
      <c r="L970" t="s">
        <v>74</v>
      </c>
      <c r="M970" t="s">
        <v>77</v>
      </c>
      <c r="N970" t="s">
        <v>159</v>
      </c>
      <c r="O970" t="s">
        <v>13440</v>
      </c>
      <c r="P970" t="s">
        <v>4640</v>
      </c>
      <c r="Q970" t="s">
        <v>13468</v>
      </c>
      <c r="R970" t="s">
        <v>74</v>
      </c>
      <c r="S970" t="s">
        <v>74</v>
      </c>
      <c r="T970" t="s">
        <v>74</v>
      </c>
      <c r="U970" t="s">
        <v>13511</v>
      </c>
      <c r="V970" t="s">
        <v>13512</v>
      </c>
      <c r="W970" t="s">
        <v>634</v>
      </c>
      <c r="X970" t="s">
        <v>635</v>
      </c>
      <c r="Y970" t="s">
        <v>13494</v>
      </c>
      <c r="Z970" t="s">
        <v>13513</v>
      </c>
      <c r="AA970" t="s">
        <v>13514</v>
      </c>
      <c r="AB970" t="s">
        <v>74</v>
      </c>
      <c r="AC970" t="s">
        <v>74</v>
      </c>
      <c r="AD970" t="s">
        <v>74</v>
      </c>
      <c r="AE970" t="s">
        <v>74</v>
      </c>
      <c r="AF970" t="s">
        <v>74</v>
      </c>
      <c r="AG970">
        <v>19</v>
      </c>
      <c r="AH970">
        <v>31</v>
      </c>
      <c r="AI970">
        <v>37</v>
      </c>
      <c r="AJ970">
        <v>1</v>
      </c>
      <c r="AK970">
        <v>9</v>
      </c>
      <c r="AL970" t="s">
        <v>13450</v>
      </c>
      <c r="AM970" t="s">
        <v>132</v>
      </c>
      <c r="AN970" t="s">
        <v>13451</v>
      </c>
      <c r="AO970" t="s">
        <v>13452</v>
      </c>
      <c r="AP970" t="s">
        <v>74</v>
      </c>
      <c r="AQ970" t="s">
        <v>13453</v>
      </c>
      <c r="AR970" t="s">
        <v>13473</v>
      </c>
      <c r="AS970" t="s">
        <v>74</v>
      </c>
      <c r="AT970" t="s">
        <v>74</v>
      </c>
      <c r="AU970">
        <v>2003</v>
      </c>
      <c r="AV970">
        <v>36</v>
      </c>
      <c r="AW970" t="s">
        <v>74</v>
      </c>
      <c r="AX970" t="s">
        <v>74</v>
      </c>
      <c r="AY970" t="s">
        <v>74</v>
      </c>
      <c r="AZ970" t="s">
        <v>74</v>
      </c>
      <c r="BA970" t="s">
        <v>74</v>
      </c>
      <c r="BB970">
        <v>283</v>
      </c>
      <c r="BC970">
        <v>286</v>
      </c>
      <c r="BD970" t="s">
        <v>74</v>
      </c>
      <c r="BE970" t="s">
        <v>13515</v>
      </c>
      <c r="BF970" t="str">
        <f>HYPERLINK("http://dx.doi.org/10.3189/172756403781816329","http://dx.doi.org/10.3189/172756403781816329")</f>
        <v>http://dx.doi.org/10.3189/172756403781816329</v>
      </c>
      <c r="BG970" t="s">
        <v>74</v>
      </c>
      <c r="BH970" t="s">
        <v>74</v>
      </c>
      <c r="BI970">
        <v>4</v>
      </c>
      <c r="BJ970" t="s">
        <v>548</v>
      </c>
      <c r="BK970" t="s">
        <v>854</v>
      </c>
      <c r="BL970" t="s">
        <v>549</v>
      </c>
      <c r="BM970" t="s">
        <v>13456</v>
      </c>
      <c r="BN970" t="s">
        <v>74</v>
      </c>
      <c r="BO970" t="s">
        <v>96</v>
      </c>
      <c r="BP970" t="s">
        <v>74</v>
      </c>
      <c r="BQ970" t="s">
        <v>74</v>
      </c>
      <c r="BR970" t="s">
        <v>97</v>
      </c>
      <c r="BS970" t="s">
        <v>13516</v>
      </c>
      <c r="BT970" t="str">
        <f>HYPERLINK("https%3A%2F%2Fwww.webofscience.com%2Fwos%2Fwoscc%2Ffull-record%2FWOS:000184905100038","View Full Record in Web of Science")</f>
        <v>View Full Record in Web of Science</v>
      </c>
    </row>
    <row r="971" spans="1:72" x14ac:dyDescent="0.15">
      <c r="A971" t="s">
        <v>5377</v>
      </c>
      <c r="B971" t="s">
        <v>13517</v>
      </c>
      <c r="C971" t="s">
        <v>74</v>
      </c>
      <c r="D971" t="s">
        <v>13518</v>
      </c>
      <c r="E971" t="s">
        <v>74</v>
      </c>
      <c r="F971" t="s">
        <v>13517</v>
      </c>
      <c r="G971" t="s">
        <v>74</v>
      </c>
      <c r="H971" t="s">
        <v>74</v>
      </c>
      <c r="I971" t="s">
        <v>13519</v>
      </c>
      <c r="J971" t="s">
        <v>13520</v>
      </c>
      <c r="K971" t="s">
        <v>13467</v>
      </c>
      <c r="L971" t="s">
        <v>74</v>
      </c>
      <c r="M971" t="s">
        <v>77</v>
      </c>
      <c r="N971" t="s">
        <v>159</v>
      </c>
      <c r="O971" t="s">
        <v>13521</v>
      </c>
      <c r="P971" t="s">
        <v>13522</v>
      </c>
      <c r="Q971" t="s">
        <v>13523</v>
      </c>
      <c r="R971" t="s">
        <v>74</v>
      </c>
      <c r="S971" t="s">
        <v>74</v>
      </c>
      <c r="T971" t="s">
        <v>74</v>
      </c>
      <c r="U971" t="s">
        <v>13524</v>
      </c>
      <c r="V971" t="s">
        <v>13525</v>
      </c>
      <c r="W971" t="s">
        <v>13526</v>
      </c>
      <c r="X971" t="s">
        <v>13527</v>
      </c>
      <c r="Y971" t="s">
        <v>13528</v>
      </c>
      <c r="Z971" t="s">
        <v>13529</v>
      </c>
      <c r="AA971" t="s">
        <v>13530</v>
      </c>
      <c r="AB971" t="s">
        <v>7418</v>
      </c>
      <c r="AC971" t="s">
        <v>13448</v>
      </c>
      <c r="AD971" t="s">
        <v>13449</v>
      </c>
      <c r="AE971" t="s">
        <v>74</v>
      </c>
      <c r="AF971" t="s">
        <v>74</v>
      </c>
      <c r="AG971">
        <v>17</v>
      </c>
      <c r="AH971">
        <v>11</v>
      </c>
      <c r="AI971">
        <v>11</v>
      </c>
      <c r="AJ971">
        <v>0</v>
      </c>
      <c r="AK971">
        <v>8</v>
      </c>
      <c r="AL971" t="s">
        <v>13450</v>
      </c>
      <c r="AM971" t="s">
        <v>132</v>
      </c>
      <c r="AN971" t="s">
        <v>13451</v>
      </c>
      <c r="AO971" t="s">
        <v>13452</v>
      </c>
      <c r="AP971" t="s">
        <v>74</v>
      </c>
      <c r="AQ971" t="s">
        <v>13531</v>
      </c>
      <c r="AR971" t="s">
        <v>13473</v>
      </c>
      <c r="AS971" t="s">
        <v>74</v>
      </c>
      <c r="AT971" t="s">
        <v>74</v>
      </c>
      <c r="AU971">
        <v>2003</v>
      </c>
      <c r="AV971">
        <v>37</v>
      </c>
      <c r="AW971" t="s">
        <v>74</v>
      </c>
      <c r="AX971" t="s">
        <v>74</v>
      </c>
      <c r="AY971" t="s">
        <v>74</v>
      </c>
      <c r="AZ971" t="s">
        <v>74</v>
      </c>
      <c r="BA971" t="s">
        <v>74</v>
      </c>
      <c r="BB971">
        <v>49</v>
      </c>
      <c r="BC971">
        <v>54</v>
      </c>
      <c r="BD971" t="s">
        <v>74</v>
      </c>
      <c r="BE971" t="s">
        <v>13532</v>
      </c>
      <c r="BF971" t="str">
        <f>HYPERLINK("http://dx.doi.org/10.3189/172756403781815618","http://dx.doi.org/10.3189/172756403781815618")</f>
        <v>http://dx.doi.org/10.3189/172756403781815618</v>
      </c>
      <c r="BG971" t="s">
        <v>74</v>
      </c>
      <c r="BH971" t="s">
        <v>74</v>
      </c>
      <c r="BI971">
        <v>6</v>
      </c>
      <c r="BJ971" t="s">
        <v>548</v>
      </c>
      <c r="BK971" t="s">
        <v>854</v>
      </c>
      <c r="BL971" t="s">
        <v>549</v>
      </c>
      <c r="BM971" t="s">
        <v>13533</v>
      </c>
      <c r="BN971" t="s">
        <v>74</v>
      </c>
      <c r="BO971" t="s">
        <v>628</v>
      </c>
      <c r="BP971" t="s">
        <v>74</v>
      </c>
      <c r="BQ971" t="s">
        <v>74</v>
      </c>
      <c r="BR971" t="s">
        <v>97</v>
      </c>
      <c r="BS971" t="s">
        <v>13534</v>
      </c>
      <c r="BT971" t="str">
        <f>HYPERLINK("https%3A%2F%2Fwww.webofscience.com%2Fwos%2Fwoscc%2Ffull-record%2FWOS:000189450700008","View Full Record in Web of Science")</f>
        <v>View Full Record in Web of Science</v>
      </c>
    </row>
    <row r="972" spans="1:72" x14ac:dyDescent="0.15">
      <c r="A972" t="s">
        <v>5377</v>
      </c>
      <c r="B972" t="s">
        <v>13535</v>
      </c>
      <c r="C972" t="s">
        <v>74</v>
      </c>
      <c r="D972" t="s">
        <v>13518</v>
      </c>
      <c r="E972" t="s">
        <v>74</v>
      </c>
      <c r="F972" t="s">
        <v>13535</v>
      </c>
      <c r="G972" t="s">
        <v>74</v>
      </c>
      <c r="H972" t="s">
        <v>74</v>
      </c>
      <c r="I972" t="s">
        <v>13536</v>
      </c>
      <c r="J972" t="s">
        <v>13520</v>
      </c>
      <c r="K972" t="s">
        <v>13467</v>
      </c>
      <c r="L972" t="s">
        <v>74</v>
      </c>
      <c r="M972" t="s">
        <v>77</v>
      </c>
      <c r="N972" t="s">
        <v>159</v>
      </c>
      <c r="O972" t="s">
        <v>13521</v>
      </c>
      <c r="P972" t="s">
        <v>13522</v>
      </c>
      <c r="Q972" t="s">
        <v>13523</v>
      </c>
      <c r="R972" t="s">
        <v>74</v>
      </c>
      <c r="S972" t="s">
        <v>74</v>
      </c>
      <c r="T972" t="s">
        <v>74</v>
      </c>
      <c r="U972" t="s">
        <v>13537</v>
      </c>
      <c r="V972" t="s">
        <v>13538</v>
      </c>
      <c r="W972" t="s">
        <v>13539</v>
      </c>
      <c r="X972" t="s">
        <v>13540</v>
      </c>
      <c r="Y972" t="s">
        <v>13541</v>
      </c>
      <c r="Z972" t="s">
        <v>13542</v>
      </c>
      <c r="AA972" t="s">
        <v>74</v>
      </c>
      <c r="AB972" t="s">
        <v>74</v>
      </c>
      <c r="AC972" t="s">
        <v>74</v>
      </c>
      <c r="AD972" t="s">
        <v>74</v>
      </c>
      <c r="AE972" t="s">
        <v>74</v>
      </c>
      <c r="AF972" t="s">
        <v>74</v>
      </c>
      <c r="AG972">
        <v>30</v>
      </c>
      <c r="AH972">
        <v>11</v>
      </c>
      <c r="AI972">
        <v>13</v>
      </c>
      <c r="AJ972">
        <v>0</v>
      </c>
      <c r="AK972">
        <v>4</v>
      </c>
      <c r="AL972" t="s">
        <v>13450</v>
      </c>
      <c r="AM972" t="s">
        <v>132</v>
      </c>
      <c r="AN972" t="s">
        <v>13451</v>
      </c>
      <c r="AO972" t="s">
        <v>13452</v>
      </c>
      <c r="AP972" t="s">
        <v>74</v>
      </c>
      <c r="AQ972" t="s">
        <v>13531</v>
      </c>
      <c r="AR972" t="s">
        <v>13473</v>
      </c>
      <c r="AS972" t="s">
        <v>74</v>
      </c>
      <c r="AT972" t="s">
        <v>74</v>
      </c>
      <c r="AU972">
        <v>2003</v>
      </c>
      <c r="AV972">
        <v>37</v>
      </c>
      <c r="AW972" t="s">
        <v>74</v>
      </c>
      <c r="AX972" t="s">
        <v>74</v>
      </c>
      <c r="AY972" t="s">
        <v>74</v>
      </c>
      <c r="AZ972" t="s">
        <v>74</v>
      </c>
      <c r="BA972" t="s">
        <v>74</v>
      </c>
      <c r="BB972">
        <v>108</v>
      </c>
      <c r="BC972">
        <v>112</v>
      </c>
      <c r="BD972" t="s">
        <v>74</v>
      </c>
      <c r="BE972" t="s">
        <v>13543</v>
      </c>
      <c r="BF972" t="str">
        <f>HYPERLINK("http://dx.doi.org/10.3189/172756403781815537","http://dx.doi.org/10.3189/172756403781815537")</f>
        <v>http://dx.doi.org/10.3189/172756403781815537</v>
      </c>
      <c r="BG972" t="s">
        <v>74</v>
      </c>
      <c r="BH972" t="s">
        <v>74</v>
      </c>
      <c r="BI972">
        <v>5</v>
      </c>
      <c r="BJ972" t="s">
        <v>548</v>
      </c>
      <c r="BK972" t="s">
        <v>854</v>
      </c>
      <c r="BL972" t="s">
        <v>549</v>
      </c>
      <c r="BM972" t="s">
        <v>13533</v>
      </c>
      <c r="BN972" t="s">
        <v>74</v>
      </c>
      <c r="BO972" t="s">
        <v>96</v>
      </c>
      <c r="BP972" t="s">
        <v>74</v>
      </c>
      <c r="BQ972" t="s">
        <v>74</v>
      </c>
      <c r="BR972" t="s">
        <v>97</v>
      </c>
      <c r="BS972" t="s">
        <v>13544</v>
      </c>
      <c r="BT972" t="str">
        <f>HYPERLINK("https%3A%2F%2Fwww.webofscience.com%2Fwos%2Fwoscc%2Ffull-record%2FWOS:000189450700017","View Full Record in Web of Science")</f>
        <v>View Full Record in Web of Science</v>
      </c>
    </row>
    <row r="973" spans="1:72" x14ac:dyDescent="0.15">
      <c r="A973" t="s">
        <v>5377</v>
      </c>
      <c r="B973" t="s">
        <v>13545</v>
      </c>
      <c r="C973" t="s">
        <v>74</v>
      </c>
      <c r="D973" t="s">
        <v>13518</v>
      </c>
      <c r="E973" t="s">
        <v>74</v>
      </c>
      <c r="F973" t="s">
        <v>13545</v>
      </c>
      <c r="G973" t="s">
        <v>74</v>
      </c>
      <c r="H973" t="s">
        <v>74</v>
      </c>
      <c r="I973" t="s">
        <v>13546</v>
      </c>
      <c r="J973" t="s">
        <v>13520</v>
      </c>
      <c r="K973" t="s">
        <v>13467</v>
      </c>
      <c r="L973" t="s">
        <v>74</v>
      </c>
      <c r="M973" t="s">
        <v>77</v>
      </c>
      <c r="N973" t="s">
        <v>159</v>
      </c>
      <c r="O973" t="s">
        <v>13521</v>
      </c>
      <c r="P973" t="s">
        <v>13522</v>
      </c>
      <c r="Q973" t="s">
        <v>13523</v>
      </c>
      <c r="R973" t="s">
        <v>74</v>
      </c>
      <c r="S973" t="s">
        <v>74</v>
      </c>
      <c r="T973" t="s">
        <v>74</v>
      </c>
      <c r="U973" t="s">
        <v>13547</v>
      </c>
      <c r="V973" t="s">
        <v>13548</v>
      </c>
      <c r="W973" t="s">
        <v>370</v>
      </c>
      <c r="X973" t="s">
        <v>371</v>
      </c>
      <c r="Y973" t="s">
        <v>13549</v>
      </c>
      <c r="Z973" t="s">
        <v>13550</v>
      </c>
      <c r="AA973" t="s">
        <v>13551</v>
      </c>
      <c r="AB973" t="s">
        <v>13552</v>
      </c>
      <c r="AC973" t="s">
        <v>74</v>
      </c>
      <c r="AD973" t="s">
        <v>74</v>
      </c>
      <c r="AE973" t="s">
        <v>74</v>
      </c>
      <c r="AF973" t="s">
        <v>74</v>
      </c>
      <c r="AG973">
        <v>17</v>
      </c>
      <c r="AH973">
        <v>16</v>
      </c>
      <c r="AI973">
        <v>17</v>
      </c>
      <c r="AJ973">
        <v>0</v>
      </c>
      <c r="AK973">
        <v>4</v>
      </c>
      <c r="AL973" t="s">
        <v>13450</v>
      </c>
      <c r="AM973" t="s">
        <v>132</v>
      </c>
      <c r="AN973" t="s">
        <v>13451</v>
      </c>
      <c r="AO973" t="s">
        <v>13452</v>
      </c>
      <c r="AP973" t="s">
        <v>74</v>
      </c>
      <c r="AQ973" t="s">
        <v>13531</v>
      </c>
      <c r="AR973" t="s">
        <v>13473</v>
      </c>
      <c r="AS973" t="s">
        <v>74</v>
      </c>
      <c r="AT973" t="s">
        <v>74</v>
      </c>
      <c r="AU973">
        <v>2003</v>
      </c>
      <c r="AV973">
        <v>37</v>
      </c>
      <c r="AW973" t="s">
        <v>74</v>
      </c>
      <c r="AX973" t="s">
        <v>74</v>
      </c>
      <c r="AY973" t="s">
        <v>74</v>
      </c>
      <c r="AZ973" t="s">
        <v>74</v>
      </c>
      <c r="BA973" t="s">
        <v>74</v>
      </c>
      <c r="BB973">
        <v>150</v>
      </c>
      <c r="BC973">
        <v>158</v>
      </c>
      <c r="BD973" t="s">
        <v>74</v>
      </c>
      <c r="BE973" t="s">
        <v>13553</v>
      </c>
      <c r="BF973" t="str">
        <f>HYPERLINK("http://dx.doi.org/10.3189/172756403781815393","http://dx.doi.org/10.3189/172756403781815393")</f>
        <v>http://dx.doi.org/10.3189/172756403781815393</v>
      </c>
      <c r="BG973" t="s">
        <v>74</v>
      </c>
      <c r="BH973" t="s">
        <v>74</v>
      </c>
      <c r="BI973">
        <v>9</v>
      </c>
      <c r="BJ973" t="s">
        <v>548</v>
      </c>
      <c r="BK973" t="s">
        <v>854</v>
      </c>
      <c r="BL973" t="s">
        <v>549</v>
      </c>
      <c r="BM973" t="s">
        <v>13533</v>
      </c>
      <c r="BN973" t="s">
        <v>74</v>
      </c>
      <c r="BO973" t="s">
        <v>2139</v>
      </c>
      <c r="BP973" t="s">
        <v>74</v>
      </c>
      <c r="BQ973" t="s">
        <v>74</v>
      </c>
      <c r="BR973" t="s">
        <v>97</v>
      </c>
      <c r="BS973" t="s">
        <v>13554</v>
      </c>
      <c r="BT973" t="str">
        <f>HYPERLINK("https%3A%2F%2Fwww.webofscience.com%2Fwos%2Fwoscc%2Ffull-record%2FWOS:000189450700024","View Full Record in Web of Science")</f>
        <v>View Full Record in Web of Science</v>
      </c>
    </row>
    <row r="974" spans="1:72" x14ac:dyDescent="0.15">
      <c r="A974" t="s">
        <v>5377</v>
      </c>
      <c r="B974" t="s">
        <v>13555</v>
      </c>
      <c r="C974" t="s">
        <v>74</v>
      </c>
      <c r="D974" t="s">
        <v>13518</v>
      </c>
      <c r="E974" t="s">
        <v>74</v>
      </c>
      <c r="F974" t="s">
        <v>13555</v>
      </c>
      <c r="G974" t="s">
        <v>74</v>
      </c>
      <c r="H974" t="s">
        <v>74</v>
      </c>
      <c r="I974" t="s">
        <v>13556</v>
      </c>
      <c r="J974" t="s">
        <v>13520</v>
      </c>
      <c r="K974" t="s">
        <v>13467</v>
      </c>
      <c r="L974" t="s">
        <v>74</v>
      </c>
      <c r="M974" t="s">
        <v>77</v>
      </c>
      <c r="N974" t="s">
        <v>159</v>
      </c>
      <c r="O974" t="s">
        <v>13521</v>
      </c>
      <c r="P974" t="s">
        <v>13522</v>
      </c>
      <c r="Q974" t="s">
        <v>13523</v>
      </c>
      <c r="R974" t="s">
        <v>74</v>
      </c>
      <c r="S974" t="s">
        <v>74</v>
      </c>
      <c r="T974" t="s">
        <v>74</v>
      </c>
      <c r="U974" t="s">
        <v>13557</v>
      </c>
      <c r="V974" t="s">
        <v>13558</v>
      </c>
      <c r="W974" t="s">
        <v>13559</v>
      </c>
      <c r="X974" t="s">
        <v>13560</v>
      </c>
      <c r="Y974" t="s">
        <v>74</v>
      </c>
      <c r="Z974" t="s">
        <v>13561</v>
      </c>
      <c r="AA974" t="s">
        <v>13562</v>
      </c>
      <c r="AB974" t="s">
        <v>12773</v>
      </c>
      <c r="AC974" t="s">
        <v>13563</v>
      </c>
      <c r="AD974" t="s">
        <v>6577</v>
      </c>
      <c r="AE974" t="s">
        <v>74</v>
      </c>
      <c r="AF974" t="s">
        <v>74</v>
      </c>
      <c r="AG974">
        <v>19</v>
      </c>
      <c r="AH974">
        <v>4</v>
      </c>
      <c r="AI974">
        <v>4</v>
      </c>
      <c r="AJ974">
        <v>0</v>
      </c>
      <c r="AK974">
        <v>5</v>
      </c>
      <c r="AL974" t="s">
        <v>13450</v>
      </c>
      <c r="AM974" t="s">
        <v>132</v>
      </c>
      <c r="AN974" t="s">
        <v>13451</v>
      </c>
      <c r="AO974" t="s">
        <v>13452</v>
      </c>
      <c r="AP974" t="s">
        <v>74</v>
      </c>
      <c r="AQ974" t="s">
        <v>13531</v>
      </c>
      <c r="AR974" t="s">
        <v>13473</v>
      </c>
      <c r="AS974" t="s">
        <v>74</v>
      </c>
      <c r="AT974" t="s">
        <v>74</v>
      </c>
      <c r="AU974">
        <v>2003</v>
      </c>
      <c r="AV974">
        <v>37</v>
      </c>
      <c r="AW974" t="s">
        <v>74</v>
      </c>
      <c r="AX974" t="s">
        <v>74</v>
      </c>
      <c r="AY974" t="s">
        <v>74</v>
      </c>
      <c r="AZ974" t="s">
        <v>74</v>
      </c>
      <c r="BA974" t="s">
        <v>74</v>
      </c>
      <c r="BB974">
        <v>189</v>
      </c>
      <c r="BC974">
        <v>193</v>
      </c>
      <c r="BD974" t="s">
        <v>74</v>
      </c>
      <c r="BE974" t="s">
        <v>13564</v>
      </c>
      <c r="BF974" t="str">
        <f>HYPERLINK("http://dx.doi.org/10.3189/172756403781815447","http://dx.doi.org/10.3189/172756403781815447")</f>
        <v>http://dx.doi.org/10.3189/172756403781815447</v>
      </c>
      <c r="BG974" t="s">
        <v>74</v>
      </c>
      <c r="BH974" t="s">
        <v>74</v>
      </c>
      <c r="BI974">
        <v>5</v>
      </c>
      <c r="BJ974" t="s">
        <v>548</v>
      </c>
      <c r="BK974" t="s">
        <v>854</v>
      </c>
      <c r="BL974" t="s">
        <v>549</v>
      </c>
      <c r="BM974" t="s">
        <v>13533</v>
      </c>
      <c r="BN974" t="s">
        <v>74</v>
      </c>
      <c r="BO974" t="s">
        <v>96</v>
      </c>
      <c r="BP974" t="s">
        <v>74</v>
      </c>
      <c r="BQ974" t="s">
        <v>74</v>
      </c>
      <c r="BR974" t="s">
        <v>97</v>
      </c>
      <c r="BS974" t="s">
        <v>13565</v>
      </c>
      <c r="BT974" t="str">
        <f>HYPERLINK("https%3A%2F%2Fwww.webofscience.com%2Fwos%2Fwoscc%2Ffull-record%2FWOS:000189450700029","View Full Record in Web of Science")</f>
        <v>View Full Record in Web of Science</v>
      </c>
    </row>
    <row r="975" spans="1:72" x14ac:dyDescent="0.15">
      <c r="A975" t="s">
        <v>5377</v>
      </c>
      <c r="B975" t="s">
        <v>13566</v>
      </c>
      <c r="C975" t="s">
        <v>74</v>
      </c>
      <c r="D975" t="s">
        <v>13518</v>
      </c>
      <c r="E975" t="s">
        <v>74</v>
      </c>
      <c r="F975" t="s">
        <v>13566</v>
      </c>
      <c r="G975" t="s">
        <v>74</v>
      </c>
      <c r="H975" t="s">
        <v>74</v>
      </c>
      <c r="I975" t="s">
        <v>13567</v>
      </c>
      <c r="J975" t="s">
        <v>13520</v>
      </c>
      <c r="K975" t="s">
        <v>13467</v>
      </c>
      <c r="L975" t="s">
        <v>74</v>
      </c>
      <c r="M975" t="s">
        <v>77</v>
      </c>
      <c r="N975" t="s">
        <v>159</v>
      </c>
      <c r="O975" t="s">
        <v>13521</v>
      </c>
      <c r="P975" t="s">
        <v>13522</v>
      </c>
      <c r="Q975" t="s">
        <v>13523</v>
      </c>
      <c r="R975" t="s">
        <v>74</v>
      </c>
      <c r="S975" t="s">
        <v>74</v>
      </c>
      <c r="T975" t="s">
        <v>74</v>
      </c>
      <c r="U975" t="s">
        <v>13568</v>
      </c>
      <c r="V975" t="s">
        <v>13569</v>
      </c>
      <c r="W975" t="s">
        <v>13570</v>
      </c>
      <c r="X975" t="s">
        <v>13571</v>
      </c>
      <c r="Y975" t="s">
        <v>13572</v>
      </c>
      <c r="Z975" t="s">
        <v>13573</v>
      </c>
      <c r="AA975" t="s">
        <v>13574</v>
      </c>
      <c r="AB975" t="s">
        <v>13575</v>
      </c>
      <c r="AC975" t="s">
        <v>74</v>
      </c>
      <c r="AD975" t="s">
        <v>74</v>
      </c>
      <c r="AE975" t="s">
        <v>74</v>
      </c>
      <c r="AF975" t="s">
        <v>74</v>
      </c>
      <c r="AG975">
        <v>16</v>
      </c>
      <c r="AH975">
        <v>10</v>
      </c>
      <c r="AI975">
        <v>10</v>
      </c>
      <c r="AJ975">
        <v>2</v>
      </c>
      <c r="AK975">
        <v>11</v>
      </c>
      <c r="AL975" t="s">
        <v>13450</v>
      </c>
      <c r="AM975" t="s">
        <v>132</v>
      </c>
      <c r="AN975" t="s">
        <v>13451</v>
      </c>
      <c r="AO975" t="s">
        <v>13452</v>
      </c>
      <c r="AP975" t="s">
        <v>74</v>
      </c>
      <c r="AQ975" t="s">
        <v>13531</v>
      </c>
      <c r="AR975" t="s">
        <v>13473</v>
      </c>
      <c r="AS975" t="s">
        <v>74</v>
      </c>
      <c r="AT975" t="s">
        <v>74</v>
      </c>
      <c r="AU975">
        <v>2003</v>
      </c>
      <c r="AV975">
        <v>37</v>
      </c>
      <c r="AW975" t="s">
        <v>74</v>
      </c>
      <c r="AX975" t="s">
        <v>74</v>
      </c>
      <c r="AY975" t="s">
        <v>74</v>
      </c>
      <c r="AZ975" t="s">
        <v>74</v>
      </c>
      <c r="BA975" t="s">
        <v>74</v>
      </c>
      <c r="BB975">
        <v>213</v>
      </c>
      <c r="BC975">
        <v>218</v>
      </c>
      <c r="BD975" t="s">
        <v>74</v>
      </c>
      <c r="BE975" t="s">
        <v>13576</v>
      </c>
      <c r="BF975" t="str">
        <f>HYPERLINK("http://dx.doi.org/10.3189/172756403781816013","http://dx.doi.org/10.3189/172756403781816013")</f>
        <v>http://dx.doi.org/10.3189/172756403781816013</v>
      </c>
      <c r="BG975" t="s">
        <v>74</v>
      </c>
      <c r="BH975" t="s">
        <v>74</v>
      </c>
      <c r="BI975">
        <v>6</v>
      </c>
      <c r="BJ975" t="s">
        <v>548</v>
      </c>
      <c r="BK975" t="s">
        <v>854</v>
      </c>
      <c r="BL975" t="s">
        <v>549</v>
      </c>
      <c r="BM975" t="s">
        <v>13533</v>
      </c>
      <c r="BN975" t="s">
        <v>74</v>
      </c>
      <c r="BO975" t="s">
        <v>96</v>
      </c>
      <c r="BP975" t="s">
        <v>74</v>
      </c>
      <c r="BQ975" t="s">
        <v>74</v>
      </c>
      <c r="BR975" t="s">
        <v>97</v>
      </c>
      <c r="BS975" t="s">
        <v>13577</v>
      </c>
      <c r="BT975" t="str">
        <f>HYPERLINK("https%3A%2F%2Fwww.webofscience.com%2Fwos%2Fwoscc%2Ffull-record%2FWOS:000189450700033","View Full Record in Web of Science")</f>
        <v>View Full Record in Web of Science</v>
      </c>
    </row>
    <row r="976" spans="1:72" x14ac:dyDescent="0.15">
      <c r="A976" t="s">
        <v>5377</v>
      </c>
      <c r="B976" t="s">
        <v>13578</v>
      </c>
      <c r="C976" t="s">
        <v>74</v>
      </c>
      <c r="D976" t="s">
        <v>13518</v>
      </c>
      <c r="E976" t="s">
        <v>74</v>
      </c>
      <c r="F976" t="s">
        <v>13578</v>
      </c>
      <c r="G976" t="s">
        <v>74</v>
      </c>
      <c r="H976" t="s">
        <v>74</v>
      </c>
      <c r="I976" t="s">
        <v>13579</v>
      </c>
      <c r="J976" t="s">
        <v>13520</v>
      </c>
      <c r="K976" t="s">
        <v>13467</v>
      </c>
      <c r="L976" t="s">
        <v>74</v>
      </c>
      <c r="M976" t="s">
        <v>77</v>
      </c>
      <c r="N976" t="s">
        <v>159</v>
      </c>
      <c r="O976" t="s">
        <v>13521</v>
      </c>
      <c r="P976" t="s">
        <v>13522</v>
      </c>
      <c r="Q976" t="s">
        <v>13523</v>
      </c>
      <c r="R976" t="s">
        <v>74</v>
      </c>
      <c r="S976" t="s">
        <v>74</v>
      </c>
      <c r="T976" t="s">
        <v>74</v>
      </c>
      <c r="U976" t="s">
        <v>13580</v>
      </c>
      <c r="V976" t="s">
        <v>13581</v>
      </c>
      <c r="W976" t="s">
        <v>13582</v>
      </c>
      <c r="X976" t="s">
        <v>13583</v>
      </c>
      <c r="Y976" t="s">
        <v>13584</v>
      </c>
      <c r="Z976" t="s">
        <v>13585</v>
      </c>
      <c r="AA976" t="s">
        <v>74</v>
      </c>
      <c r="AB976" t="s">
        <v>74</v>
      </c>
      <c r="AC976" t="s">
        <v>74</v>
      </c>
      <c r="AD976" t="s">
        <v>74</v>
      </c>
      <c r="AE976" t="s">
        <v>74</v>
      </c>
      <c r="AF976" t="s">
        <v>74</v>
      </c>
      <c r="AG976">
        <v>21</v>
      </c>
      <c r="AH976">
        <v>14</v>
      </c>
      <c r="AI976">
        <v>17</v>
      </c>
      <c r="AJ976">
        <v>0</v>
      </c>
      <c r="AK976">
        <v>5</v>
      </c>
      <c r="AL976" t="s">
        <v>13450</v>
      </c>
      <c r="AM976" t="s">
        <v>132</v>
      </c>
      <c r="AN976" t="s">
        <v>13451</v>
      </c>
      <c r="AO976" t="s">
        <v>13452</v>
      </c>
      <c r="AP976" t="s">
        <v>74</v>
      </c>
      <c r="AQ976" t="s">
        <v>13531</v>
      </c>
      <c r="AR976" t="s">
        <v>13473</v>
      </c>
      <c r="AS976" t="s">
        <v>74</v>
      </c>
      <c r="AT976" t="s">
        <v>74</v>
      </c>
      <c r="AU976">
        <v>2003</v>
      </c>
      <c r="AV976">
        <v>37</v>
      </c>
      <c r="AW976" t="s">
        <v>74</v>
      </c>
      <c r="AX976" t="s">
        <v>74</v>
      </c>
      <c r="AY976" t="s">
        <v>74</v>
      </c>
      <c r="AZ976" t="s">
        <v>74</v>
      </c>
      <c r="BA976" t="s">
        <v>74</v>
      </c>
      <c r="BB976">
        <v>257</v>
      </c>
      <c r="BC976">
        <v>262</v>
      </c>
      <c r="BD976" t="s">
        <v>74</v>
      </c>
      <c r="BE976" t="s">
        <v>13586</v>
      </c>
      <c r="BF976" t="str">
        <f>HYPERLINK("http://dx.doi.org/10.3189/172756403781815708","http://dx.doi.org/10.3189/172756403781815708")</f>
        <v>http://dx.doi.org/10.3189/172756403781815708</v>
      </c>
      <c r="BG976" t="s">
        <v>74</v>
      </c>
      <c r="BH976" t="s">
        <v>74</v>
      </c>
      <c r="BI976">
        <v>6</v>
      </c>
      <c r="BJ976" t="s">
        <v>548</v>
      </c>
      <c r="BK976" t="s">
        <v>854</v>
      </c>
      <c r="BL976" t="s">
        <v>549</v>
      </c>
      <c r="BM976" t="s">
        <v>13533</v>
      </c>
      <c r="BN976" t="s">
        <v>74</v>
      </c>
      <c r="BO976" t="s">
        <v>96</v>
      </c>
      <c r="BP976" t="s">
        <v>74</v>
      </c>
      <c r="BQ976" t="s">
        <v>74</v>
      </c>
      <c r="BR976" t="s">
        <v>97</v>
      </c>
      <c r="BS976" t="s">
        <v>13587</v>
      </c>
      <c r="BT976" t="str">
        <f>HYPERLINK("https%3A%2F%2Fwww.webofscience.com%2Fwos%2Fwoscc%2Ffull-record%2FWOS:000189450700040","View Full Record in Web of Science")</f>
        <v>View Full Record in Web of Science</v>
      </c>
    </row>
    <row r="977" spans="1:72" x14ac:dyDescent="0.15">
      <c r="A977" t="s">
        <v>5377</v>
      </c>
      <c r="B977" t="s">
        <v>13588</v>
      </c>
      <c r="C977" t="s">
        <v>74</v>
      </c>
      <c r="D977" t="s">
        <v>13518</v>
      </c>
      <c r="E977" t="s">
        <v>74</v>
      </c>
      <c r="F977" t="s">
        <v>13588</v>
      </c>
      <c r="G977" t="s">
        <v>74</v>
      </c>
      <c r="H977" t="s">
        <v>74</v>
      </c>
      <c r="I977" t="s">
        <v>13589</v>
      </c>
      <c r="J977" t="s">
        <v>13520</v>
      </c>
      <c r="K977" t="s">
        <v>13467</v>
      </c>
      <c r="L977" t="s">
        <v>74</v>
      </c>
      <c r="M977" t="s">
        <v>77</v>
      </c>
      <c r="N977" t="s">
        <v>159</v>
      </c>
      <c r="O977" t="s">
        <v>13521</v>
      </c>
      <c r="P977" t="s">
        <v>13522</v>
      </c>
      <c r="Q977" t="s">
        <v>13523</v>
      </c>
      <c r="R977" t="s">
        <v>74</v>
      </c>
      <c r="S977" t="s">
        <v>74</v>
      </c>
      <c r="T977" t="s">
        <v>74</v>
      </c>
      <c r="U977" t="s">
        <v>13590</v>
      </c>
      <c r="V977" t="s">
        <v>13591</v>
      </c>
      <c r="W977" t="s">
        <v>13592</v>
      </c>
      <c r="X977" t="s">
        <v>13593</v>
      </c>
      <c r="Y977" t="s">
        <v>13594</v>
      </c>
      <c r="Z977" t="s">
        <v>13595</v>
      </c>
      <c r="AA977" t="s">
        <v>13596</v>
      </c>
      <c r="AB977" t="s">
        <v>13597</v>
      </c>
      <c r="AC977" t="s">
        <v>74</v>
      </c>
      <c r="AD977" t="s">
        <v>74</v>
      </c>
      <c r="AE977" t="s">
        <v>74</v>
      </c>
      <c r="AF977" t="s">
        <v>74</v>
      </c>
      <c r="AG977">
        <v>32</v>
      </c>
      <c r="AH977">
        <v>32</v>
      </c>
      <c r="AI977">
        <v>36</v>
      </c>
      <c r="AJ977">
        <v>0</v>
      </c>
      <c r="AK977">
        <v>12</v>
      </c>
      <c r="AL977" t="s">
        <v>13450</v>
      </c>
      <c r="AM977" t="s">
        <v>132</v>
      </c>
      <c r="AN977" t="s">
        <v>13451</v>
      </c>
      <c r="AO977" t="s">
        <v>13452</v>
      </c>
      <c r="AP977" t="s">
        <v>74</v>
      </c>
      <c r="AQ977" t="s">
        <v>13531</v>
      </c>
      <c r="AR977" t="s">
        <v>13473</v>
      </c>
      <c r="AS977" t="s">
        <v>74</v>
      </c>
      <c r="AT977" t="s">
        <v>74</v>
      </c>
      <c r="AU977">
        <v>2003</v>
      </c>
      <c r="AV977">
        <v>37</v>
      </c>
      <c r="AW977" t="s">
        <v>74</v>
      </c>
      <c r="AX977" t="s">
        <v>74</v>
      </c>
      <c r="AY977" t="s">
        <v>74</v>
      </c>
      <c r="AZ977" t="s">
        <v>74</v>
      </c>
      <c r="BA977" t="s">
        <v>74</v>
      </c>
      <c r="BB977">
        <v>317</v>
      </c>
      <c r="BC977">
        <v>324</v>
      </c>
      <c r="BD977" t="s">
        <v>74</v>
      </c>
      <c r="BE977" t="s">
        <v>13598</v>
      </c>
      <c r="BF977" t="str">
        <f>HYPERLINK("http://dx.doi.org/10.3189/172756403781815924","http://dx.doi.org/10.3189/172756403781815924")</f>
        <v>http://dx.doi.org/10.3189/172756403781815924</v>
      </c>
      <c r="BG977" t="s">
        <v>74</v>
      </c>
      <c r="BH977" t="s">
        <v>74</v>
      </c>
      <c r="BI977">
        <v>8</v>
      </c>
      <c r="BJ977" t="s">
        <v>548</v>
      </c>
      <c r="BK977" t="s">
        <v>854</v>
      </c>
      <c r="BL977" t="s">
        <v>549</v>
      </c>
      <c r="BM977" t="s">
        <v>13533</v>
      </c>
      <c r="BN977" t="s">
        <v>74</v>
      </c>
      <c r="BO977" t="s">
        <v>96</v>
      </c>
      <c r="BP977" t="s">
        <v>74</v>
      </c>
      <c r="BQ977" t="s">
        <v>74</v>
      </c>
      <c r="BR977" t="s">
        <v>97</v>
      </c>
      <c r="BS977" t="s">
        <v>13599</v>
      </c>
      <c r="BT977" t="str">
        <f>HYPERLINK("https%3A%2F%2Fwww.webofscience.com%2Fwos%2Fwoscc%2Ffull-record%2FWOS:000189450700049","View Full Record in Web of Science")</f>
        <v>View Full Record in Web of Science</v>
      </c>
    </row>
    <row r="978" spans="1:72" x14ac:dyDescent="0.15">
      <c r="A978" t="s">
        <v>5377</v>
      </c>
      <c r="B978" t="s">
        <v>13600</v>
      </c>
      <c r="C978" t="s">
        <v>74</v>
      </c>
      <c r="D978" t="s">
        <v>13518</v>
      </c>
      <c r="E978" t="s">
        <v>74</v>
      </c>
      <c r="F978" t="s">
        <v>13600</v>
      </c>
      <c r="G978" t="s">
        <v>74</v>
      </c>
      <c r="H978" t="s">
        <v>74</v>
      </c>
      <c r="I978" t="s">
        <v>13601</v>
      </c>
      <c r="J978" t="s">
        <v>13520</v>
      </c>
      <c r="K978" t="s">
        <v>13467</v>
      </c>
      <c r="L978" t="s">
        <v>74</v>
      </c>
      <c r="M978" t="s">
        <v>77</v>
      </c>
      <c r="N978" t="s">
        <v>159</v>
      </c>
      <c r="O978" t="s">
        <v>13521</v>
      </c>
      <c r="P978" t="s">
        <v>13522</v>
      </c>
      <c r="Q978" t="s">
        <v>13523</v>
      </c>
      <c r="R978" t="s">
        <v>74</v>
      </c>
      <c r="S978" t="s">
        <v>74</v>
      </c>
      <c r="T978" t="s">
        <v>74</v>
      </c>
      <c r="U978" t="s">
        <v>13602</v>
      </c>
      <c r="V978" t="s">
        <v>13603</v>
      </c>
      <c r="W978" t="s">
        <v>370</v>
      </c>
      <c r="X978" t="s">
        <v>371</v>
      </c>
      <c r="Y978" t="s">
        <v>13604</v>
      </c>
      <c r="Z978" t="s">
        <v>13605</v>
      </c>
      <c r="AA978" t="s">
        <v>13606</v>
      </c>
      <c r="AB978" t="s">
        <v>13607</v>
      </c>
      <c r="AC978" t="s">
        <v>74</v>
      </c>
      <c r="AD978" t="s">
        <v>74</v>
      </c>
      <c r="AE978" t="s">
        <v>74</v>
      </c>
      <c r="AF978" t="s">
        <v>74</v>
      </c>
      <c r="AG978">
        <v>26</v>
      </c>
      <c r="AH978">
        <v>17</v>
      </c>
      <c r="AI978">
        <v>17</v>
      </c>
      <c r="AJ978">
        <v>0</v>
      </c>
      <c r="AK978">
        <v>6</v>
      </c>
      <c r="AL978" t="s">
        <v>13450</v>
      </c>
      <c r="AM978" t="s">
        <v>132</v>
      </c>
      <c r="AN978" t="s">
        <v>13451</v>
      </c>
      <c r="AO978" t="s">
        <v>13452</v>
      </c>
      <c r="AP978" t="s">
        <v>74</v>
      </c>
      <c r="AQ978" t="s">
        <v>13531</v>
      </c>
      <c r="AR978" t="s">
        <v>13473</v>
      </c>
      <c r="AS978" t="s">
        <v>74</v>
      </c>
      <c r="AT978" t="s">
        <v>74</v>
      </c>
      <c r="AU978">
        <v>2003</v>
      </c>
      <c r="AV978">
        <v>37</v>
      </c>
      <c r="AW978" t="s">
        <v>74</v>
      </c>
      <c r="AX978" t="s">
        <v>74</v>
      </c>
      <c r="AY978" t="s">
        <v>74</v>
      </c>
      <c r="AZ978" t="s">
        <v>74</v>
      </c>
      <c r="BA978" t="s">
        <v>74</v>
      </c>
      <c r="BB978">
        <v>344</v>
      </c>
      <c r="BC978">
        <v>350</v>
      </c>
      <c r="BD978" t="s">
        <v>74</v>
      </c>
      <c r="BE978" t="s">
        <v>13608</v>
      </c>
      <c r="BF978" t="str">
        <f>HYPERLINK("http://dx.doi.org/10.3189/172756403781816068","http://dx.doi.org/10.3189/172756403781816068")</f>
        <v>http://dx.doi.org/10.3189/172756403781816068</v>
      </c>
      <c r="BG978" t="s">
        <v>74</v>
      </c>
      <c r="BH978" t="s">
        <v>74</v>
      </c>
      <c r="BI978">
        <v>7</v>
      </c>
      <c r="BJ978" t="s">
        <v>548</v>
      </c>
      <c r="BK978" t="s">
        <v>854</v>
      </c>
      <c r="BL978" t="s">
        <v>549</v>
      </c>
      <c r="BM978" t="s">
        <v>13533</v>
      </c>
      <c r="BN978" t="s">
        <v>74</v>
      </c>
      <c r="BO978" t="s">
        <v>96</v>
      </c>
      <c r="BP978" t="s">
        <v>74</v>
      </c>
      <c r="BQ978" t="s">
        <v>74</v>
      </c>
      <c r="BR978" t="s">
        <v>97</v>
      </c>
      <c r="BS978" t="s">
        <v>13609</v>
      </c>
      <c r="BT978" t="str">
        <f>HYPERLINK("https%3A%2F%2Fwww.webofscience.com%2Fwos%2Fwoscc%2Ffull-record%2FWOS:000189450700053","View Full Record in Web of Science")</f>
        <v>View Full Record in Web of Science</v>
      </c>
    </row>
    <row r="979" spans="1:72" x14ac:dyDescent="0.15">
      <c r="A979" t="s">
        <v>5377</v>
      </c>
      <c r="B979" t="s">
        <v>13610</v>
      </c>
      <c r="C979" t="s">
        <v>74</v>
      </c>
      <c r="D979" t="s">
        <v>13518</v>
      </c>
      <c r="E979" t="s">
        <v>74</v>
      </c>
      <c r="F979" t="s">
        <v>13610</v>
      </c>
      <c r="G979" t="s">
        <v>74</v>
      </c>
      <c r="H979" t="s">
        <v>74</v>
      </c>
      <c r="I979" t="s">
        <v>13611</v>
      </c>
      <c r="J979" t="s">
        <v>13520</v>
      </c>
      <c r="K979" t="s">
        <v>13439</v>
      </c>
      <c r="L979" t="s">
        <v>74</v>
      </c>
      <c r="M979" t="s">
        <v>77</v>
      </c>
      <c r="N979" t="s">
        <v>159</v>
      </c>
      <c r="O979" t="s">
        <v>13521</v>
      </c>
      <c r="P979" t="s">
        <v>13522</v>
      </c>
      <c r="Q979" t="s">
        <v>13523</v>
      </c>
      <c r="R979" t="s">
        <v>74</v>
      </c>
      <c r="S979" t="s">
        <v>74</v>
      </c>
      <c r="T979" t="s">
        <v>74</v>
      </c>
      <c r="U979" t="s">
        <v>13612</v>
      </c>
      <c r="V979" t="s">
        <v>13613</v>
      </c>
      <c r="W979" t="s">
        <v>13614</v>
      </c>
      <c r="X979" t="s">
        <v>13615</v>
      </c>
      <c r="Y979" t="s">
        <v>13616</v>
      </c>
      <c r="Z979" t="s">
        <v>13617</v>
      </c>
      <c r="AA979" t="s">
        <v>74</v>
      </c>
      <c r="AB979" t="s">
        <v>74</v>
      </c>
      <c r="AC979" t="s">
        <v>74</v>
      </c>
      <c r="AD979" t="s">
        <v>74</v>
      </c>
      <c r="AE979" t="s">
        <v>74</v>
      </c>
      <c r="AF979" t="s">
        <v>74</v>
      </c>
      <c r="AG979">
        <v>21</v>
      </c>
      <c r="AH979">
        <v>0</v>
      </c>
      <c r="AI979">
        <v>0</v>
      </c>
      <c r="AJ979">
        <v>0</v>
      </c>
      <c r="AK979">
        <v>4</v>
      </c>
      <c r="AL979" t="s">
        <v>13450</v>
      </c>
      <c r="AM979" t="s">
        <v>132</v>
      </c>
      <c r="AN979" t="s">
        <v>13451</v>
      </c>
      <c r="AO979" t="s">
        <v>13452</v>
      </c>
      <c r="AP979" t="s">
        <v>74</v>
      </c>
      <c r="AQ979" t="s">
        <v>13531</v>
      </c>
      <c r="AR979" t="s">
        <v>13454</v>
      </c>
      <c r="AS979" t="s">
        <v>74</v>
      </c>
      <c r="AT979" t="s">
        <v>74</v>
      </c>
      <c r="AU979">
        <v>2003</v>
      </c>
      <c r="AV979">
        <v>37</v>
      </c>
      <c r="AW979" t="s">
        <v>74</v>
      </c>
      <c r="AX979" t="s">
        <v>74</v>
      </c>
      <c r="AY979" t="s">
        <v>74</v>
      </c>
      <c r="AZ979" t="s">
        <v>74</v>
      </c>
      <c r="BA979" t="s">
        <v>74</v>
      </c>
      <c r="BB979">
        <v>357</v>
      </c>
      <c r="BC979">
        <v>362</v>
      </c>
      <c r="BD979" t="s">
        <v>74</v>
      </c>
      <c r="BE979" t="s">
        <v>13618</v>
      </c>
      <c r="BF979" t="str">
        <f>HYPERLINK("http://dx.doi.org/10.3189/172756403781816004","http://dx.doi.org/10.3189/172756403781816004")</f>
        <v>http://dx.doi.org/10.3189/172756403781816004</v>
      </c>
      <c r="BG979" t="s">
        <v>74</v>
      </c>
      <c r="BH979" t="s">
        <v>74</v>
      </c>
      <c r="BI979">
        <v>6</v>
      </c>
      <c r="BJ979" t="s">
        <v>548</v>
      </c>
      <c r="BK979" t="s">
        <v>854</v>
      </c>
      <c r="BL979" t="s">
        <v>549</v>
      </c>
      <c r="BM979" t="s">
        <v>13533</v>
      </c>
      <c r="BN979" t="s">
        <v>74</v>
      </c>
      <c r="BO979" t="s">
        <v>96</v>
      </c>
      <c r="BP979" t="s">
        <v>74</v>
      </c>
      <c r="BQ979" t="s">
        <v>74</v>
      </c>
      <c r="BR979" t="s">
        <v>97</v>
      </c>
      <c r="BS979" t="s">
        <v>13619</v>
      </c>
      <c r="BT979" t="str">
        <f>HYPERLINK("https%3A%2F%2Fwww.webofscience.com%2Fwos%2Fwoscc%2Ffull-record%2FWOS:000189450700055","View Full Record in Web of Science")</f>
        <v>View Full Record in Web of Science</v>
      </c>
    </row>
    <row r="980" spans="1:72" x14ac:dyDescent="0.15">
      <c r="A980" t="s">
        <v>5377</v>
      </c>
      <c r="B980" t="s">
        <v>13620</v>
      </c>
      <c r="C980" t="s">
        <v>74</v>
      </c>
      <c r="D980" t="s">
        <v>13518</v>
      </c>
      <c r="E980" t="s">
        <v>74</v>
      </c>
      <c r="F980" t="s">
        <v>13620</v>
      </c>
      <c r="G980" t="s">
        <v>74</v>
      </c>
      <c r="H980" t="s">
        <v>74</v>
      </c>
      <c r="I980" t="s">
        <v>13621</v>
      </c>
      <c r="J980" t="s">
        <v>13520</v>
      </c>
      <c r="K980" t="s">
        <v>13439</v>
      </c>
      <c r="L980" t="s">
        <v>74</v>
      </c>
      <c r="M980" t="s">
        <v>77</v>
      </c>
      <c r="N980" t="s">
        <v>159</v>
      </c>
      <c r="O980" t="s">
        <v>13521</v>
      </c>
      <c r="P980" t="s">
        <v>13522</v>
      </c>
      <c r="Q980" t="s">
        <v>13523</v>
      </c>
      <c r="R980" t="s">
        <v>74</v>
      </c>
      <c r="S980" t="s">
        <v>74</v>
      </c>
      <c r="T980" t="s">
        <v>74</v>
      </c>
      <c r="U980" t="s">
        <v>13622</v>
      </c>
      <c r="V980" t="s">
        <v>13623</v>
      </c>
      <c r="W980" t="s">
        <v>3132</v>
      </c>
      <c r="X980" t="s">
        <v>706</v>
      </c>
      <c r="Y980" t="s">
        <v>13624</v>
      </c>
      <c r="Z980" t="s">
        <v>13625</v>
      </c>
      <c r="AA980" t="s">
        <v>13626</v>
      </c>
      <c r="AB980" t="s">
        <v>13627</v>
      </c>
      <c r="AC980" t="s">
        <v>13563</v>
      </c>
      <c r="AD980" t="s">
        <v>6577</v>
      </c>
      <c r="AE980" t="s">
        <v>74</v>
      </c>
      <c r="AF980" t="s">
        <v>74</v>
      </c>
      <c r="AG980">
        <v>20</v>
      </c>
      <c r="AH980">
        <v>1</v>
      </c>
      <c r="AI980">
        <v>2</v>
      </c>
      <c r="AJ980">
        <v>0</v>
      </c>
      <c r="AK980">
        <v>3</v>
      </c>
      <c r="AL980" t="s">
        <v>13450</v>
      </c>
      <c r="AM980" t="s">
        <v>132</v>
      </c>
      <c r="AN980" t="s">
        <v>13451</v>
      </c>
      <c r="AO980" t="s">
        <v>13452</v>
      </c>
      <c r="AP980" t="s">
        <v>74</v>
      </c>
      <c r="AQ980" t="s">
        <v>13531</v>
      </c>
      <c r="AR980" t="s">
        <v>13454</v>
      </c>
      <c r="AS980" t="s">
        <v>74</v>
      </c>
      <c r="AT980" t="s">
        <v>74</v>
      </c>
      <c r="AU980">
        <v>2003</v>
      </c>
      <c r="AV980">
        <v>37</v>
      </c>
      <c r="AW980" t="s">
        <v>74</v>
      </c>
      <c r="AX980" t="s">
        <v>74</v>
      </c>
      <c r="AY980" t="s">
        <v>74</v>
      </c>
      <c r="AZ980" t="s">
        <v>74</v>
      </c>
      <c r="BA980" t="s">
        <v>74</v>
      </c>
      <c r="BB980">
        <v>390</v>
      </c>
      <c r="BC980">
        <v>396</v>
      </c>
      <c r="BD980" t="s">
        <v>74</v>
      </c>
      <c r="BE980" t="s">
        <v>13628</v>
      </c>
      <c r="BF980" t="str">
        <f>HYPERLINK("http://dx.doi.org/10.3189/172756403781815988","http://dx.doi.org/10.3189/172756403781815988")</f>
        <v>http://dx.doi.org/10.3189/172756403781815988</v>
      </c>
      <c r="BG980" t="s">
        <v>74</v>
      </c>
      <c r="BH980" t="s">
        <v>74</v>
      </c>
      <c r="BI980">
        <v>7</v>
      </c>
      <c r="BJ980" t="s">
        <v>548</v>
      </c>
      <c r="BK980" t="s">
        <v>854</v>
      </c>
      <c r="BL980" t="s">
        <v>549</v>
      </c>
      <c r="BM980" t="s">
        <v>13533</v>
      </c>
      <c r="BN980" t="s">
        <v>74</v>
      </c>
      <c r="BO980" t="s">
        <v>96</v>
      </c>
      <c r="BP980" t="s">
        <v>74</v>
      </c>
      <c r="BQ980" t="s">
        <v>74</v>
      </c>
      <c r="BR980" t="s">
        <v>97</v>
      </c>
      <c r="BS980" t="s">
        <v>13629</v>
      </c>
      <c r="BT980" t="str">
        <f>HYPERLINK("https%3A%2F%2Fwww.webofscience.com%2Fwos%2Fwoscc%2Ffull-record%2FWOS:000189450700060","View Full Record in Web of Science")</f>
        <v>View Full Record in Web of Science</v>
      </c>
    </row>
    <row r="981" spans="1:72" x14ac:dyDescent="0.15">
      <c r="A981" t="s">
        <v>13166</v>
      </c>
      <c r="B981" t="s">
        <v>13630</v>
      </c>
      <c r="C981" t="s">
        <v>74</v>
      </c>
      <c r="D981" t="s">
        <v>13631</v>
      </c>
      <c r="E981" t="s">
        <v>74</v>
      </c>
      <c r="F981" t="s">
        <v>13630</v>
      </c>
      <c r="G981" t="s">
        <v>74</v>
      </c>
      <c r="H981" t="s">
        <v>74</v>
      </c>
      <c r="I981" t="s">
        <v>13632</v>
      </c>
      <c r="J981" t="s">
        <v>13633</v>
      </c>
      <c r="K981" t="s">
        <v>74</v>
      </c>
      <c r="L981" t="s">
        <v>74</v>
      </c>
      <c r="M981" t="s">
        <v>77</v>
      </c>
      <c r="N981" t="s">
        <v>13171</v>
      </c>
      <c r="O981" t="s">
        <v>13634</v>
      </c>
      <c r="P981" t="s">
        <v>13635</v>
      </c>
      <c r="Q981" t="s">
        <v>13636</v>
      </c>
      <c r="R981" t="s">
        <v>74</v>
      </c>
      <c r="S981" t="s">
        <v>13637</v>
      </c>
      <c r="T981" t="s">
        <v>13638</v>
      </c>
      <c r="U981" t="s">
        <v>13639</v>
      </c>
      <c r="V981" t="s">
        <v>13640</v>
      </c>
      <c r="W981" t="s">
        <v>13641</v>
      </c>
      <c r="X981" t="s">
        <v>706</v>
      </c>
      <c r="Y981" t="s">
        <v>13642</v>
      </c>
      <c r="Z981" t="s">
        <v>74</v>
      </c>
      <c r="AA981" t="s">
        <v>74</v>
      </c>
      <c r="AB981" t="s">
        <v>74</v>
      </c>
      <c r="AC981" t="s">
        <v>74</v>
      </c>
      <c r="AD981" t="s">
        <v>74</v>
      </c>
      <c r="AE981" t="s">
        <v>74</v>
      </c>
      <c r="AF981" t="s">
        <v>74</v>
      </c>
      <c r="AG981">
        <v>143</v>
      </c>
      <c r="AH981">
        <v>32</v>
      </c>
      <c r="AI981">
        <v>33</v>
      </c>
      <c r="AJ981">
        <v>1</v>
      </c>
      <c r="AK981">
        <v>12</v>
      </c>
      <c r="AL981" t="s">
        <v>13643</v>
      </c>
      <c r="AM981" t="s">
        <v>13644</v>
      </c>
      <c r="AN981" t="s">
        <v>13645</v>
      </c>
      <c r="AO981" t="s">
        <v>74</v>
      </c>
      <c r="AP981" t="s">
        <v>74</v>
      </c>
      <c r="AQ981" t="s">
        <v>13646</v>
      </c>
      <c r="AR981" t="s">
        <v>74</v>
      </c>
      <c r="AS981" t="s">
        <v>74</v>
      </c>
      <c r="AT981" t="s">
        <v>74</v>
      </c>
      <c r="AU981">
        <v>2003</v>
      </c>
      <c r="AV981" t="s">
        <v>74</v>
      </c>
      <c r="AW981" t="s">
        <v>74</v>
      </c>
      <c r="AX981" t="s">
        <v>74</v>
      </c>
      <c r="AY981" t="s">
        <v>74</v>
      </c>
      <c r="AZ981" t="s">
        <v>74</v>
      </c>
      <c r="BA981" t="s">
        <v>74</v>
      </c>
      <c r="BB981">
        <v>3</v>
      </c>
      <c r="BC981">
        <v>17</v>
      </c>
      <c r="BD981" t="s">
        <v>74</v>
      </c>
      <c r="BE981" t="s">
        <v>74</v>
      </c>
      <c r="BF981" t="s">
        <v>74</v>
      </c>
      <c r="BG981" t="s">
        <v>74</v>
      </c>
      <c r="BH981" t="s">
        <v>74</v>
      </c>
      <c r="BI981">
        <v>15</v>
      </c>
      <c r="BJ981" t="s">
        <v>13647</v>
      </c>
      <c r="BK981" t="s">
        <v>13181</v>
      </c>
      <c r="BL981" t="s">
        <v>4486</v>
      </c>
      <c r="BM981" t="s">
        <v>13648</v>
      </c>
      <c r="BN981" t="s">
        <v>74</v>
      </c>
      <c r="BO981" t="s">
        <v>74</v>
      </c>
      <c r="BP981" t="s">
        <v>74</v>
      </c>
      <c r="BQ981" t="s">
        <v>74</v>
      </c>
      <c r="BR981" t="s">
        <v>97</v>
      </c>
      <c r="BS981" t="s">
        <v>13649</v>
      </c>
      <c r="BT981" t="str">
        <f>HYPERLINK("https%3A%2F%2Fwww.webofscience.com%2Fwos%2Fwoscc%2Ffull-record%2FWOS:000183287900001","View Full Record in Web of Science")</f>
        <v>View Full Record in Web of Science</v>
      </c>
    </row>
    <row r="982" spans="1:72" x14ac:dyDescent="0.15">
      <c r="A982" t="s">
        <v>13166</v>
      </c>
      <c r="B982" t="s">
        <v>13650</v>
      </c>
      <c r="C982" t="s">
        <v>74</v>
      </c>
      <c r="D982" t="s">
        <v>13631</v>
      </c>
      <c r="E982" t="s">
        <v>74</v>
      </c>
      <c r="F982" t="s">
        <v>13650</v>
      </c>
      <c r="G982" t="s">
        <v>74</v>
      </c>
      <c r="H982" t="s">
        <v>74</v>
      </c>
      <c r="I982" t="s">
        <v>13651</v>
      </c>
      <c r="J982" t="s">
        <v>13633</v>
      </c>
      <c r="K982" t="s">
        <v>74</v>
      </c>
      <c r="L982" t="s">
        <v>74</v>
      </c>
      <c r="M982" t="s">
        <v>77</v>
      </c>
      <c r="N982" t="s">
        <v>13171</v>
      </c>
      <c r="O982" t="s">
        <v>13634</v>
      </c>
      <c r="P982" t="s">
        <v>13635</v>
      </c>
      <c r="Q982" t="s">
        <v>13636</v>
      </c>
      <c r="R982" t="s">
        <v>74</v>
      </c>
      <c r="S982" t="s">
        <v>13637</v>
      </c>
      <c r="T982" t="s">
        <v>13652</v>
      </c>
      <c r="U982" t="s">
        <v>13653</v>
      </c>
      <c r="V982" t="s">
        <v>13654</v>
      </c>
      <c r="W982" t="s">
        <v>13655</v>
      </c>
      <c r="X982" t="s">
        <v>3733</v>
      </c>
      <c r="Y982" t="s">
        <v>13656</v>
      </c>
      <c r="Z982" t="s">
        <v>74</v>
      </c>
      <c r="AA982" t="s">
        <v>7159</v>
      </c>
      <c r="AB982" t="s">
        <v>74</v>
      </c>
      <c r="AC982" t="s">
        <v>74</v>
      </c>
      <c r="AD982" t="s">
        <v>74</v>
      </c>
      <c r="AE982" t="s">
        <v>74</v>
      </c>
      <c r="AF982" t="s">
        <v>74</v>
      </c>
      <c r="AG982">
        <v>23</v>
      </c>
      <c r="AH982">
        <v>11</v>
      </c>
      <c r="AI982">
        <v>11</v>
      </c>
      <c r="AJ982">
        <v>0</v>
      </c>
      <c r="AK982">
        <v>5</v>
      </c>
      <c r="AL982" t="s">
        <v>13643</v>
      </c>
      <c r="AM982" t="s">
        <v>13644</v>
      </c>
      <c r="AN982" t="s">
        <v>13645</v>
      </c>
      <c r="AO982" t="s">
        <v>74</v>
      </c>
      <c r="AP982" t="s">
        <v>74</v>
      </c>
      <c r="AQ982" t="s">
        <v>13646</v>
      </c>
      <c r="AR982" t="s">
        <v>74</v>
      </c>
      <c r="AS982" t="s">
        <v>74</v>
      </c>
      <c r="AT982" t="s">
        <v>74</v>
      </c>
      <c r="AU982">
        <v>2003</v>
      </c>
      <c r="AV982" t="s">
        <v>74</v>
      </c>
      <c r="AW982" t="s">
        <v>74</v>
      </c>
      <c r="AX982" t="s">
        <v>74</v>
      </c>
      <c r="AY982" t="s">
        <v>74</v>
      </c>
      <c r="AZ982" t="s">
        <v>74</v>
      </c>
      <c r="BA982" t="s">
        <v>74</v>
      </c>
      <c r="BB982">
        <v>21</v>
      </c>
      <c r="BC982">
        <v>25</v>
      </c>
      <c r="BD982" t="s">
        <v>74</v>
      </c>
      <c r="BE982" t="s">
        <v>74</v>
      </c>
      <c r="BF982" t="s">
        <v>74</v>
      </c>
      <c r="BG982" t="s">
        <v>74</v>
      </c>
      <c r="BH982" t="s">
        <v>74</v>
      </c>
      <c r="BI982">
        <v>5</v>
      </c>
      <c r="BJ982" t="s">
        <v>13647</v>
      </c>
      <c r="BK982" t="s">
        <v>13181</v>
      </c>
      <c r="BL982" t="s">
        <v>4486</v>
      </c>
      <c r="BM982" t="s">
        <v>13648</v>
      </c>
      <c r="BN982" t="s">
        <v>74</v>
      </c>
      <c r="BO982" t="s">
        <v>74</v>
      </c>
      <c r="BP982" t="s">
        <v>74</v>
      </c>
      <c r="BQ982" t="s">
        <v>74</v>
      </c>
      <c r="BR982" t="s">
        <v>97</v>
      </c>
      <c r="BS982" t="s">
        <v>13657</v>
      </c>
      <c r="BT982" t="str">
        <f>HYPERLINK("https%3A%2F%2Fwww.webofscience.com%2Fwos%2Fwoscc%2Ffull-record%2FWOS:000183287900002","View Full Record in Web of Science")</f>
        <v>View Full Record in Web of Science</v>
      </c>
    </row>
    <row r="983" spans="1:72" x14ac:dyDescent="0.15">
      <c r="A983" t="s">
        <v>13166</v>
      </c>
      <c r="B983" t="s">
        <v>13658</v>
      </c>
      <c r="C983" t="s">
        <v>74</v>
      </c>
      <c r="D983" t="s">
        <v>13631</v>
      </c>
      <c r="E983" t="s">
        <v>74</v>
      </c>
      <c r="F983" t="s">
        <v>13658</v>
      </c>
      <c r="G983" t="s">
        <v>74</v>
      </c>
      <c r="H983" t="s">
        <v>74</v>
      </c>
      <c r="I983" t="s">
        <v>13659</v>
      </c>
      <c r="J983" t="s">
        <v>13633</v>
      </c>
      <c r="K983" t="s">
        <v>74</v>
      </c>
      <c r="L983" t="s">
        <v>74</v>
      </c>
      <c r="M983" t="s">
        <v>77</v>
      </c>
      <c r="N983" t="s">
        <v>13171</v>
      </c>
      <c r="O983" t="s">
        <v>13634</v>
      </c>
      <c r="P983" t="s">
        <v>13635</v>
      </c>
      <c r="Q983" t="s">
        <v>13636</v>
      </c>
      <c r="R983" t="s">
        <v>74</v>
      </c>
      <c r="S983" t="s">
        <v>13637</v>
      </c>
      <c r="T983" t="s">
        <v>13660</v>
      </c>
      <c r="U983" t="s">
        <v>74</v>
      </c>
      <c r="V983" t="s">
        <v>13661</v>
      </c>
      <c r="W983" t="s">
        <v>13662</v>
      </c>
      <c r="X983" t="s">
        <v>74</v>
      </c>
      <c r="Y983" t="s">
        <v>13663</v>
      </c>
      <c r="Z983" t="s">
        <v>13664</v>
      </c>
      <c r="AA983" t="s">
        <v>74</v>
      </c>
      <c r="AB983" t="s">
        <v>74</v>
      </c>
      <c r="AC983" t="s">
        <v>74</v>
      </c>
      <c r="AD983" t="s">
        <v>74</v>
      </c>
      <c r="AE983" t="s">
        <v>74</v>
      </c>
      <c r="AF983" t="s">
        <v>74</v>
      </c>
      <c r="AG983">
        <v>7</v>
      </c>
      <c r="AH983">
        <v>4</v>
      </c>
      <c r="AI983">
        <v>7</v>
      </c>
      <c r="AJ983">
        <v>1</v>
      </c>
      <c r="AK983">
        <v>5</v>
      </c>
      <c r="AL983" t="s">
        <v>13643</v>
      </c>
      <c r="AM983" t="s">
        <v>13644</v>
      </c>
      <c r="AN983" t="s">
        <v>13645</v>
      </c>
      <c r="AO983" t="s">
        <v>74</v>
      </c>
      <c r="AP983" t="s">
        <v>74</v>
      </c>
      <c r="AQ983" t="s">
        <v>13646</v>
      </c>
      <c r="AR983" t="s">
        <v>74</v>
      </c>
      <c r="AS983" t="s">
        <v>74</v>
      </c>
      <c r="AT983" t="s">
        <v>74</v>
      </c>
      <c r="AU983">
        <v>2003</v>
      </c>
      <c r="AV983" t="s">
        <v>74</v>
      </c>
      <c r="AW983" t="s">
        <v>74</v>
      </c>
      <c r="AX983" t="s">
        <v>74</v>
      </c>
      <c r="AY983" t="s">
        <v>74</v>
      </c>
      <c r="AZ983" t="s">
        <v>74</v>
      </c>
      <c r="BA983" t="s">
        <v>74</v>
      </c>
      <c r="BB983">
        <v>26</v>
      </c>
      <c r="BC983">
        <v>30</v>
      </c>
      <c r="BD983" t="s">
        <v>74</v>
      </c>
      <c r="BE983" t="s">
        <v>74</v>
      </c>
      <c r="BF983" t="s">
        <v>74</v>
      </c>
      <c r="BG983" t="s">
        <v>74</v>
      </c>
      <c r="BH983" t="s">
        <v>74</v>
      </c>
      <c r="BI983">
        <v>5</v>
      </c>
      <c r="BJ983" t="s">
        <v>13647</v>
      </c>
      <c r="BK983" t="s">
        <v>13181</v>
      </c>
      <c r="BL983" t="s">
        <v>4486</v>
      </c>
      <c r="BM983" t="s">
        <v>13648</v>
      </c>
      <c r="BN983" t="s">
        <v>74</v>
      </c>
      <c r="BO983" t="s">
        <v>74</v>
      </c>
      <c r="BP983" t="s">
        <v>74</v>
      </c>
      <c r="BQ983" t="s">
        <v>74</v>
      </c>
      <c r="BR983" t="s">
        <v>97</v>
      </c>
      <c r="BS983" t="s">
        <v>13665</v>
      </c>
      <c r="BT983" t="str">
        <f>HYPERLINK("https%3A%2F%2Fwww.webofscience.com%2Fwos%2Fwoscc%2Ffull-record%2FWOS:000183287900003","View Full Record in Web of Science")</f>
        <v>View Full Record in Web of Science</v>
      </c>
    </row>
    <row r="984" spans="1:72" x14ac:dyDescent="0.15">
      <c r="A984" t="s">
        <v>13166</v>
      </c>
      <c r="B984" t="s">
        <v>13666</v>
      </c>
      <c r="C984" t="s">
        <v>74</v>
      </c>
      <c r="D984" t="s">
        <v>13631</v>
      </c>
      <c r="E984" t="s">
        <v>74</v>
      </c>
      <c r="F984" t="s">
        <v>13666</v>
      </c>
      <c r="G984" t="s">
        <v>74</v>
      </c>
      <c r="H984" t="s">
        <v>74</v>
      </c>
      <c r="I984" t="s">
        <v>13667</v>
      </c>
      <c r="J984" t="s">
        <v>13633</v>
      </c>
      <c r="K984" t="s">
        <v>74</v>
      </c>
      <c r="L984" t="s">
        <v>74</v>
      </c>
      <c r="M984" t="s">
        <v>77</v>
      </c>
      <c r="N984" t="s">
        <v>13171</v>
      </c>
      <c r="O984" t="s">
        <v>13634</v>
      </c>
      <c r="P984" t="s">
        <v>13635</v>
      </c>
      <c r="Q984" t="s">
        <v>13636</v>
      </c>
      <c r="R984" t="s">
        <v>74</v>
      </c>
      <c r="S984" t="s">
        <v>13637</v>
      </c>
      <c r="T984" t="s">
        <v>13668</v>
      </c>
      <c r="U984" t="s">
        <v>74</v>
      </c>
      <c r="V984" t="s">
        <v>13669</v>
      </c>
      <c r="W984" t="s">
        <v>13670</v>
      </c>
      <c r="X984" t="s">
        <v>13671</v>
      </c>
      <c r="Y984" t="s">
        <v>13672</v>
      </c>
      <c r="Z984" t="s">
        <v>74</v>
      </c>
      <c r="AA984" t="s">
        <v>3294</v>
      </c>
      <c r="AB984" t="s">
        <v>3295</v>
      </c>
      <c r="AC984" t="s">
        <v>74</v>
      </c>
      <c r="AD984" t="s">
        <v>74</v>
      </c>
      <c r="AE984" t="s">
        <v>74</v>
      </c>
      <c r="AF984" t="s">
        <v>74</v>
      </c>
      <c r="AG984">
        <v>24</v>
      </c>
      <c r="AH984">
        <v>5</v>
      </c>
      <c r="AI984">
        <v>6</v>
      </c>
      <c r="AJ984">
        <v>0</v>
      </c>
      <c r="AK984">
        <v>5</v>
      </c>
      <c r="AL984" t="s">
        <v>13643</v>
      </c>
      <c r="AM984" t="s">
        <v>13644</v>
      </c>
      <c r="AN984" t="s">
        <v>13645</v>
      </c>
      <c r="AO984" t="s">
        <v>74</v>
      </c>
      <c r="AP984" t="s">
        <v>74</v>
      </c>
      <c r="AQ984" t="s">
        <v>13646</v>
      </c>
      <c r="AR984" t="s">
        <v>74</v>
      </c>
      <c r="AS984" t="s">
        <v>74</v>
      </c>
      <c r="AT984" t="s">
        <v>74</v>
      </c>
      <c r="AU984">
        <v>2003</v>
      </c>
      <c r="AV984" t="s">
        <v>74</v>
      </c>
      <c r="AW984" t="s">
        <v>74</v>
      </c>
      <c r="AX984" t="s">
        <v>74</v>
      </c>
      <c r="AY984" t="s">
        <v>74</v>
      </c>
      <c r="AZ984" t="s">
        <v>74</v>
      </c>
      <c r="BA984" t="s">
        <v>74</v>
      </c>
      <c r="BB984">
        <v>31</v>
      </c>
      <c r="BC984">
        <v>36</v>
      </c>
      <c r="BD984" t="s">
        <v>74</v>
      </c>
      <c r="BE984" t="s">
        <v>74</v>
      </c>
      <c r="BF984" t="s">
        <v>74</v>
      </c>
      <c r="BG984" t="s">
        <v>74</v>
      </c>
      <c r="BH984" t="s">
        <v>74</v>
      </c>
      <c r="BI984">
        <v>6</v>
      </c>
      <c r="BJ984" t="s">
        <v>13647</v>
      </c>
      <c r="BK984" t="s">
        <v>13181</v>
      </c>
      <c r="BL984" t="s">
        <v>4486</v>
      </c>
      <c r="BM984" t="s">
        <v>13648</v>
      </c>
      <c r="BN984" t="s">
        <v>74</v>
      </c>
      <c r="BO984" t="s">
        <v>74</v>
      </c>
      <c r="BP984" t="s">
        <v>74</v>
      </c>
      <c r="BQ984" t="s">
        <v>74</v>
      </c>
      <c r="BR984" t="s">
        <v>97</v>
      </c>
      <c r="BS984" t="s">
        <v>13673</v>
      </c>
      <c r="BT984" t="str">
        <f>HYPERLINK("https%3A%2F%2Fwww.webofscience.com%2Fwos%2Fwoscc%2Ffull-record%2FWOS:000183287900004","View Full Record in Web of Science")</f>
        <v>View Full Record in Web of Science</v>
      </c>
    </row>
    <row r="985" spans="1:72" x14ac:dyDescent="0.15">
      <c r="A985" t="s">
        <v>13166</v>
      </c>
      <c r="B985" t="s">
        <v>13674</v>
      </c>
      <c r="C985" t="s">
        <v>74</v>
      </c>
      <c r="D985" t="s">
        <v>13631</v>
      </c>
      <c r="E985" t="s">
        <v>74</v>
      </c>
      <c r="F985" t="s">
        <v>13674</v>
      </c>
      <c r="G985" t="s">
        <v>74</v>
      </c>
      <c r="H985" t="s">
        <v>74</v>
      </c>
      <c r="I985" t="s">
        <v>13675</v>
      </c>
      <c r="J985" t="s">
        <v>13633</v>
      </c>
      <c r="K985" t="s">
        <v>74</v>
      </c>
      <c r="L985" t="s">
        <v>74</v>
      </c>
      <c r="M985" t="s">
        <v>77</v>
      </c>
      <c r="N985" t="s">
        <v>13171</v>
      </c>
      <c r="O985" t="s">
        <v>13634</v>
      </c>
      <c r="P985" t="s">
        <v>13635</v>
      </c>
      <c r="Q985" t="s">
        <v>13636</v>
      </c>
      <c r="R985" t="s">
        <v>74</v>
      </c>
      <c r="S985" t="s">
        <v>13637</v>
      </c>
      <c r="T985" t="s">
        <v>13676</v>
      </c>
      <c r="U985" t="s">
        <v>13677</v>
      </c>
      <c r="V985" t="s">
        <v>13678</v>
      </c>
      <c r="W985" t="s">
        <v>5463</v>
      </c>
      <c r="X985" t="s">
        <v>706</v>
      </c>
      <c r="Y985" t="s">
        <v>13679</v>
      </c>
      <c r="Z985" t="s">
        <v>74</v>
      </c>
      <c r="AA985" t="s">
        <v>74</v>
      </c>
      <c r="AB985" t="s">
        <v>74</v>
      </c>
      <c r="AC985" t="s">
        <v>74</v>
      </c>
      <c r="AD985" t="s">
        <v>74</v>
      </c>
      <c r="AE985" t="s">
        <v>74</v>
      </c>
      <c r="AF985" t="s">
        <v>74</v>
      </c>
      <c r="AG985">
        <v>37</v>
      </c>
      <c r="AH985">
        <v>0</v>
      </c>
      <c r="AI985">
        <v>0</v>
      </c>
      <c r="AJ985">
        <v>1</v>
      </c>
      <c r="AK985">
        <v>3</v>
      </c>
      <c r="AL985" t="s">
        <v>13643</v>
      </c>
      <c r="AM985" t="s">
        <v>13644</v>
      </c>
      <c r="AN985" t="s">
        <v>13645</v>
      </c>
      <c r="AO985" t="s">
        <v>74</v>
      </c>
      <c r="AP985" t="s">
        <v>74</v>
      </c>
      <c r="AQ985" t="s">
        <v>13646</v>
      </c>
      <c r="AR985" t="s">
        <v>74</v>
      </c>
      <c r="AS985" t="s">
        <v>74</v>
      </c>
      <c r="AT985" t="s">
        <v>74</v>
      </c>
      <c r="AU985">
        <v>2003</v>
      </c>
      <c r="AV985" t="s">
        <v>74</v>
      </c>
      <c r="AW985" t="s">
        <v>74</v>
      </c>
      <c r="AX985" t="s">
        <v>74</v>
      </c>
      <c r="AY985" t="s">
        <v>74</v>
      </c>
      <c r="AZ985" t="s">
        <v>74</v>
      </c>
      <c r="BA985" t="s">
        <v>74</v>
      </c>
      <c r="BB985">
        <v>37</v>
      </c>
      <c r="BC985">
        <v>42</v>
      </c>
      <c r="BD985" t="s">
        <v>74</v>
      </c>
      <c r="BE985" t="s">
        <v>74</v>
      </c>
      <c r="BF985" t="s">
        <v>74</v>
      </c>
      <c r="BG985" t="s">
        <v>74</v>
      </c>
      <c r="BH985" t="s">
        <v>74</v>
      </c>
      <c r="BI985">
        <v>6</v>
      </c>
      <c r="BJ985" t="s">
        <v>13647</v>
      </c>
      <c r="BK985" t="s">
        <v>13181</v>
      </c>
      <c r="BL985" t="s">
        <v>4486</v>
      </c>
      <c r="BM985" t="s">
        <v>13648</v>
      </c>
      <c r="BN985" t="s">
        <v>74</v>
      </c>
      <c r="BO985" t="s">
        <v>74</v>
      </c>
      <c r="BP985" t="s">
        <v>74</v>
      </c>
      <c r="BQ985" t="s">
        <v>74</v>
      </c>
      <c r="BR985" t="s">
        <v>97</v>
      </c>
      <c r="BS985" t="s">
        <v>13680</v>
      </c>
      <c r="BT985" t="str">
        <f>HYPERLINK("https%3A%2F%2Fwww.webofscience.com%2Fwos%2Fwoscc%2Ffull-record%2FWOS:000183287900005","View Full Record in Web of Science")</f>
        <v>View Full Record in Web of Science</v>
      </c>
    </row>
    <row r="986" spans="1:72" x14ac:dyDescent="0.15">
      <c r="A986" t="s">
        <v>13166</v>
      </c>
      <c r="B986" t="s">
        <v>13681</v>
      </c>
      <c r="C986" t="s">
        <v>74</v>
      </c>
      <c r="D986" t="s">
        <v>13631</v>
      </c>
      <c r="E986" t="s">
        <v>74</v>
      </c>
      <c r="F986" t="s">
        <v>13681</v>
      </c>
      <c r="G986" t="s">
        <v>74</v>
      </c>
      <c r="H986" t="s">
        <v>74</v>
      </c>
      <c r="I986" t="s">
        <v>13682</v>
      </c>
      <c r="J986" t="s">
        <v>13633</v>
      </c>
      <c r="K986" t="s">
        <v>74</v>
      </c>
      <c r="L986" t="s">
        <v>74</v>
      </c>
      <c r="M986" t="s">
        <v>77</v>
      </c>
      <c r="N986" t="s">
        <v>13171</v>
      </c>
      <c r="O986" t="s">
        <v>13634</v>
      </c>
      <c r="P986" t="s">
        <v>13635</v>
      </c>
      <c r="Q986" t="s">
        <v>13636</v>
      </c>
      <c r="R986" t="s">
        <v>74</v>
      </c>
      <c r="S986" t="s">
        <v>13637</v>
      </c>
      <c r="T986" t="s">
        <v>13683</v>
      </c>
      <c r="U986" t="s">
        <v>13684</v>
      </c>
      <c r="V986" t="s">
        <v>13685</v>
      </c>
      <c r="W986" t="s">
        <v>13686</v>
      </c>
      <c r="X986" t="s">
        <v>13687</v>
      </c>
      <c r="Y986" t="s">
        <v>13688</v>
      </c>
      <c r="Z986" t="s">
        <v>13689</v>
      </c>
      <c r="AA986" t="s">
        <v>74</v>
      </c>
      <c r="AB986" t="s">
        <v>74</v>
      </c>
      <c r="AC986" t="s">
        <v>74</v>
      </c>
      <c r="AD986" t="s">
        <v>74</v>
      </c>
      <c r="AE986" t="s">
        <v>74</v>
      </c>
      <c r="AF986" t="s">
        <v>74</v>
      </c>
      <c r="AG986">
        <v>174</v>
      </c>
      <c r="AH986">
        <v>10</v>
      </c>
      <c r="AI986">
        <v>12</v>
      </c>
      <c r="AJ986">
        <v>0</v>
      </c>
      <c r="AK986">
        <v>29</v>
      </c>
      <c r="AL986" t="s">
        <v>13643</v>
      </c>
      <c r="AM986" t="s">
        <v>13644</v>
      </c>
      <c r="AN986" t="s">
        <v>13645</v>
      </c>
      <c r="AO986" t="s">
        <v>74</v>
      </c>
      <c r="AP986" t="s">
        <v>74</v>
      </c>
      <c r="AQ986" t="s">
        <v>13646</v>
      </c>
      <c r="AR986" t="s">
        <v>74</v>
      </c>
      <c r="AS986" t="s">
        <v>74</v>
      </c>
      <c r="AT986" t="s">
        <v>74</v>
      </c>
      <c r="AU986">
        <v>2003</v>
      </c>
      <c r="AV986" t="s">
        <v>74</v>
      </c>
      <c r="AW986" t="s">
        <v>74</v>
      </c>
      <c r="AX986" t="s">
        <v>74</v>
      </c>
      <c r="AY986" t="s">
        <v>74</v>
      </c>
      <c r="AZ986" t="s">
        <v>74</v>
      </c>
      <c r="BA986" t="s">
        <v>74</v>
      </c>
      <c r="BB986">
        <v>45</v>
      </c>
      <c r="BC986">
        <v>55</v>
      </c>
      <c r="BD986" t="s">
        <v>74</v>
      </c>
      <c r="BE986" t="s">
        <v>74</v>
      </c>
      <c r="BF986" t="s">
        <v>74</v>
      </c>
      <c r="BG986" t="s">
        <v>74</v>
      </c>
      <c r="BH986" t="s">
        <v>74</v>
      </c>
      <c r="BI986">
        <v>11</v>
      </c>
      <c r="BJ986" t="s">
        <v>13647</v>
      </c>
      <c r="BK986" t="s">
        <v>13181</v>
      </c>
      <c r="BL986" t="s">
        <v>4486</v>
      </c>
      <c r="BM986" t="s">
        <v>13648</v>
      </c>
      <c r="BN986" t="s">
        <v>74</v>
      </c>
      <c r="BO986" t="s">
        <v>74</v>
      </c>
      <c r="BP986" t="s">
        <v>74</v>
      </c>
      <c r="BQ986" t="s">
        <v>74</v>
      </c>
      <c r="BR986" t="s">
        <v>97</v>
      </c>
      <c r="BS986" t="s">
        <v>13690</v>
      </c>
      <c r="BT986" t="str">
        <f>HYPERLINK("https%3A%2F%2Fwww.webofscience.com%2Fwos%2Fwoscc%2Ffull-record%2FWOS:000183287900006","View Full Record in Web of Science")</f>
        <v>View Full Record in Web of Science</v>
      </c>
    </row>
    <row r="987" spans="1:72" x14ac:dyDescent="0.15">
      <c r="A987" t="s">
        <v>13166</v>
      </c>
      <c r="B987" t="s">
        <v>13691</v>
      </c>
      <c r="C987" t="s">
        <v>74</v>
      </c>
      <c r="D987" t="s">
        <v>13631</v>
      </c>
      <c r="E987" t="s">
        <v>74</v>
      </c>
      <c r="F987" t="s">
        <v>13691</v>
      </c>
      <c r="G987" t="s">
        <v>74</v>
      </c>
      <c r="H987" t="s">
        <v>74</v>
      </c>
      <c r="I987" t="s">
        <v>13692</v>
      </c>
      <c r="J987" t="s">
        <v>13633</v>
      </c>
      <c r="K987" t="s">
        <v>74</v>
      </c>
      <c r="L987" t="s">
        <v>74</v>
      </c>
      <c r="M987" t="s">
        <v>77</v>
      </c>
      <c r="N987" t="s">
        <v>13171</v>
      </c>
      <c r="O987" t="s">
        <v>13634</v>
      </c>
      <c r="P987" t="s">
        <v>13635</v>
      </c>
      <c r="Q987" t="s">
        <v>13636</v>
      </c>
      <c r="R987" t="s">
        <v>74</v>
      </c>
      <c r="S987" t="s">
        <v>13637</v>
      </c>
      <c r="T987" t="s">
        <v>13693</v>
      </c>
      <c r="U987" t="s">
        <v>13694</v>
      </c>
      <c r="V987" t="s">
        <v>13695</v>
      </c>
      <c r="W987" t="s">
        <v>11728</v>
      </c>
      <c r="X987" t="s">
        <v>371</v>
      </c>
      <c r="Y987" t="s">
        <v>13696</v>
      </c>
      <c r="Z987" t="s">
        <v>13697</v>
      </c>
      <c r="AA987" t="s">
        <v>74</v>
      </c>
      <c r="AB987" t="s">
        <v>74</v>
      </c>
      <c r="AC987" t="s">
        <v>74</v>
      </c>
      <c r="AD987" t="s">
        <v>74</v>
      </c>
      <c r="AE987" t="s">
        <v>74</v>
      </c>
      <c r="AF987" t="s">
        <v>74</v>
      </c>
      <c r="AG987">
        <v>33</v>
      </c>
      <c r="AH987">
        <v>7</v>
      </c>
      <c r="AI987">
        <v>8</v>
      </c>
      <c r="AJ987">
        <v>0</v>
      </c>
      <c r="AK987">
        <v>3</v>
      </c>
      <c r="AL987" t="s">
        <v>13643</v>
      </c>
      <c r="AM987" t="s">
        <v>13644</v>
      </c>
      <c r="AN987" t="s">
        <v>13645</v>
      </c>
      <c r="AO987" t="s">
        <v>74</v>
      </c>
      <c r="AP987" t="s">
        <v>74</v>
      </c>
      <c r="AQ987" t="s">
        <v>13646</v>
      </c>
      <c r="AR987" t="s">
        <v>74</v>
      </c>
      <c r="AS987" t="s">
        <v>74</v>
      </c>
      <c r="AT987" t="s">
        <v>74</v>
      </c>
      <c r="AU987">
        <v>2003</v>
      </c>
      <c r="AV987" t="s">
        <v>74</v>
      </c>
      <c r="AW987" t="s">
        <v>74</v>
      </c>
      <c r="AX987" t="s">
        <v>74</v>
      </c>
      <c r="AY987" t="s">
        <v>74</v>
      </c>
      <c r="AZ987" t="s">
        <v>74</v>
      </c>
      <c r="BA987" t="s">
        <v>74</v>
      </c>
      <c r="BB987">
        <v>56</v>
      </c>
      <c r="BC987">
        <v>62</v>
      </c>
      <c r="BD987" t="s">
        <v>74</v>
      </c>
      <c r="BE987" t="s">
        <v>74</v>
      </c>
      <c r="BF987" t="s">
        <v>74</v>
      </c>
      <c r="BG987" t="s">
        <v>74</v>
      </c>
      <c r="BH987" t="s">
        <v>74</v>
      </c>
      <c r="BI987">
        <v>7</v>
      </c>
      <c r="BJ987" t="s">
        <v>13647</v>
      </c>
      <c r="BK987" t="s">
        <v>13181</v>
      </c>
      <c r="BL987" t="s">
        <v>4486</v>
      </c>
      <c r="BM987" t="s">
        <v>13648</v>
      </c>
      <c r="BN987" t="s">
        <v>74</v>
      </c>
      <c r="BO987" t="s">
        <v>74</v>
      </c>
      <c r="BP987" t="s">
        <v>74</v>
      </c>
      <c r="BQ987" t="s">
        <v>74</v>
      </c>
      <c r="BR987" t="s">
        <v>97</v>
      </c>
      <c r="BS987" t="s">
        <v>13698</v>
      </c>
      <c r="BT987" t="str">
        <f>HYPERLINK("https%3A%2F%2Fwww.webofscience.com%2Fwos%2Fwoscc%2Ffull-record%2FWOS:000183287900007","View Full Record in Web of Science")</f>
        <v>View Full Record in Web of Science</v>
      </c>
    </row>
    <row r="988" spans="1:72" x14ac:dyDescent="0.15">
      <c r="A988" t="s">
        <v>13166</v>
      </c>
      <c r="B988" t="s">
        <v>13699</v>
      </c>
      <c r="C988" t="s">
        <v>74</v>
      </c>
      <c r="D988" t="s">
        <v>13631</v>
      </c>
      <c r="E988" t="s">
        <v>74</v>
      </c>
      <c r="F988" t="s">
        <v>13699</v>
      </c>
      <c r="G988" t="s">
        <v>74</v>
      </c>
      <c r="H988" t="s">
        <v>74</v>
      </c>
      <c r="I988" t="s">
        <v>13700</v>
      </c>
      <c r="J988" t="s">
        <v>13633</v>
      </c>
      <c r="K988" t="s">
        <v>74</v>
      </c>
      <c r="L988" t="s">
        <v>74</v>
      </c>
      <c r="M988" t="s">
        <v>77</v>
      </c>
      <c r="N988" t="s">
        <v>13171</v>
      </c>
      <c r="O988" t="s">
        <v>13634</v>
      </c>
      <c r="P988" t="s">
        <v>13635</v>
      </c>
      <c r="Q988" t="s">
        <v>13636</v>
      </c>
      <c r="R988" t="s">
        <v>74</v>
      </c>
      <c r="S988" t="s">
        <v>13637</v>
      </c>
      <c r="T988" t="s">
        <v>13701</v>
      </c>
      <c r="U988" t="s">
        <v>13702</v>
      </c>
      <c r="V988" t="s">
        <v>13703</v>
      </c>
      <c r="W988" t="s">
        <v>5299</v>
      </c>
      <c r="X988" t="s">
        <v>371</v>
      </c>
      <c r="Y988" t="s">
        <v>13704</v>
      </c>
      <c r="Z988" t="s">
        <v>74</v>
      </c>
      <c r="AA988" t="s">
        <v>13705</v>
      </c>
      <c r="AB988" t="s">
        <v>13706</v>
      </c>
      <c r="AC988" t="s">
        <v>74</v>
      </c>
      <c r="AD988" t="s">
        <v>74</v>
      </c>
      <c r="AE988" t="s">
        <v>74</v>
      </c>
      <c r="AF988" t="s">
        <v>74</v>
      </c>
      <c r="AG988">
        <v>20</v>
      </c>
      <c r="AH988">
        <v>7</v>
      </c>
      <c r="AI988">
        <v>10</v>
      </c>
      <c r="AJ988">
        <v>0</v>
      </c>
      <c r="AK988">
        <v>2</v>
      </c>
      <c r="AL988" t="s">
        <v>13643</v>
      </c>
      <c r="AM988" t="s">
        <v>13644</v>
      </c>
      <c r="AN988" t="s">
        <v>13645</v>
      </c>
      <c r="AO988" t="s">
        <v>74</v>
      </c>
      <c r="AP988" t="s">
        <v>74</v>
      </c>
      <c r="AQ988" t="s">
        <v>13646</v>
      </c>
      <c r="AR988" t="s">
        <v>74</v>
      </c>
      <c r="AS988" t="s">
        <v>74</v>
      </c>
      <c r="AT988" t="s">
        <v>74</v>
      </c>
      <c r="AU988">
        <v>2003</v>
      </c>
      <c r="AV988" t="s">
        <v>74</v>
      </c>
      <c r="AW988" t="s">
        <v>74</v>
      </c>
      <c r="AX988" t="s">
        <v>74</v>
      </c>
      <c r="AY988" t="s">
        <v>74</v>
      </c>
      <c r="AZ988" t="s">
        <v>74</v>
      </c>
      <c r="BA988" t="s">
        <v>74</v>
      </c>
      <c r="BB988">
        <v>63</v>
      </c>
      <c r="BC988">
        <v>68</v>
      </c>
      <c r="BD988" t="s">
        <v>74</v>
      </c>
      <c r="BE988" t="s">
        <v>74</v>
      </c>
      <c r="BF988" t="s">
        <v>74</v>
      </c>
      <c r="BG988" t="s">
        <v>74</v>
      </c>
      <c r="BH988" t="s">
        <v>74</v>
      </c>
      <c r="BI988">
        <v>6</v>
      </c>
      <c r="BJ988" t="s">
        <v>13647</v>
      </c>
      <c r="BK988" t="s">
        <v>13181</v>
      </c>
      <c r="BL988" t="s">
        <v>4486</v>
      </c>
      <c r="BM988" t="s">
        <v>13648</v>
      </c>
      <c r="BN988" t="s">
        <v>74</v>
      </c>
      <c r="BO988" t="s">
        <v>74</v>
      </c>
      <c r="BP988" t="s">
        <v>74</v>
      </c>
      <c r="BQ988" t="s">
        <v>74</v>
      </c>
      <c r="BR988" t="s">
        <v>97</v>
      </c>
      <c r="BS988" t="s">
        <v>13707</v>
      </c>
      <c r="BT988" t="str">
        <f>HYPERLINK("https%3A%2F%2Fwww.webofscience.com%2Fwos%2Fwoscc%2Ffull-record%2FWOS:000183287900008","View Full Record in Web of Science")</f>
        <v>View Full Record in Web of Science</v>
      </c>
    </row>
    <row r="989" spans="1:72" x14ac:dyDescent="0.15">
      <c r="A989" t="s">
        <v>13166</v>
      </c>
      <c r="B989" t="s">
        <v>13708</v>
      </c>
      <c r="C989" t="s">
        <v>74</v>
      </c>
      <c r="D989" t="s">
        <v>13631</v>
      </c>
      <c r="E989" t="s">
        <v>74</v>
      </c>
      <c r="F989" t="s">
        <v>13708</v>
      </c>
      <c r="G989" t="s">
        <v>74</v>
      </c>
      <c r="H989" t="s">
        <v>74</v>
      </c>
      <c r="I989" t="s">
        <v>13709</v>
      </c>
      <c r="J989" t="s">
        <v>13633</v>
      </c>
      <c r="K989" t="s">
        <v>74</v>
      </c>
      <c r="L989" t="s">
        <v>74</v>
      </c>
      <c r="M989" t="s">
        <v>77</v>
      </c>
      <c r="N989" t="s">
        <v>13171</v>
      </c>
      <c r="O989" t="s">
        <v>13634</v>
      </c>
      <c r="P989" t="s">
        <v>13635</v>
      </c>
      <c r="Q989" t="s">
        <v>13636</v>
      </c>
      <c r="R989" t="s">
        <v>74</v>
      </c>
      <c r="S989" t="s">
        <v>13637</v>
      </c>
      <c r="T989" t="s">
        <v>13710</v>
      </c>
      <c r="U989" t="s">
        <v>13711</v>
      </c>
      <c r="V989" t="s">
        <v>13712</v>
      </c>
      <c r="W989" t="s">
        <v>13713</v>
      </c>
      <c r="X989" t="s">
        <v>13714</v>
      </c>
      <c r="Y989" t="s">
        <v>13715</v>
      </c>
      <c r="Z989" t="s">
        <v>13716</v>
      </c>
      <c r="AA989" t="s">
        <v>13717</v>
      </c>
      <c r="AB989" t="s">
        <v>74</v>
      </c>
      <c r="AC989" t="s">
        <v>74</v>
      </c>
      <c r="AD989" t="s">
        <v>74</v>
      </c>
      <c r="AE989" t="s">
        <v>74</v>
      </c>
      <c r="AF989" t="s">
        <v>74</v>
      </c>
      <c r="AG989">
        <v>38</v>
      </c>
      <c r="AH989">
        <v>3</v>
      </c>
      <c r="AI989">
        <v>3</v>
      </c>
      <c r="AJ989">
        <v>0</v>
      </c>
      <c r="AK989">
        <v>4</v>
      </c>
      <c r="AL989" t="s">
        <v>13643</v>
      </c>
      <c r="AM989" t="s">
        <v>13644</v>
      </c>
      <c r="AN989" t="s">
        <v>13645</v>
      </c>
      <c r="AO989" t="s">
        <v>74</v>
      </c>
      <c r="AP989" t="s">
        <v>74</v>
      </c>
      <c r="AQ989" t="s">
        <v>13646</v>
      </c>
      <c r="AR989" t="s">
        <v>74</v>
      </c>
      <c r="AS989" t="s">
        <v>74</v>
      </c>
      <c r="AT989" t="s">
        <v>74</v>
      </c>
      <c r="AU989">
        <v>2003</v>
      </c>
      <c r="AV989" t="s">
        <v>74</v>
      </c>
      <c r="AW989" t="s">
        <v>74</v>
      </c>
      <c r="AX989" t="s">
        <v>74</v>
      </c>
      <c r="AY989" t="s">
        <v>74</v>
      </c>
      <c r="AZ989" t="s">
        <v>74</v>
      </c>
      <c r="BA989" t="s">
        <v>74</v>
      </c>
      <c r="BB989">
        <v>69</v>
      </c>
      <c r="BC989">
        <v>73</v>
      </c>
      <c r="BD989" t="s">
        <v>74</v>
      </c>
      <c r="BE989" t="s">
        <v>74</v>
      </c>
      <c r="BF989" t="s">
        <v>74</v>
      </c>
      <c r="BG989" t="s">
        <v>74</v>
      </c>
      <c r="BH989" t="s">
        <v>74</v>
      </c>
      <c r="BI989">
        <v>5</v>
      </c>
      <c r="BJ989" t="s">
        <v>13647</v>
      </c>
      <c r="BK989" t="s">
        <v>13181</v>
      </c>
      <c r="BL989" t="s">
        <v>4486</v>
      </c>
      <c r="BM989" t="s">
        <v>13648</v>
      </c>
      <c r="BN989" t="s">
        <v>74</v>
      </c>
      <c r="BO989" t="s">
        <v>74</v>
      </c>
      <c r="BP989" t="s">
        <v>74</v>
      </c>
      <c r="BQ989" t="s">
        <v>74</v>
      </c>
      <c r="BR989" t="s">
        <v>97</v>
      </c>
      <c r="BS989" t="s">
        <v>13718</v>
      </c>
      <c r="BT989" t="str">
        <f>HYPERLINK("https%3A%2F%2Fwww.webofscience.com%2Fwos%2Fwoscc%2Ffull-record%2FWOS:000183287900009","View Full Record in Web of Science")</f>
        <v>View Full Record in Web of Science</v>
      </c>
    </row>
    <row r="990" spans="1:72" x14ac:dyDescent="0.15">
      <c r="A990" t="s">
        <v>13166</v>
      </c>
      <c r="B990" t="s">
        <v>13719</v>
      </c>
      <c r="C990" t="s">
        <v>74</v>
      </c>
      <c r="D990" t="s">
        <v>13631</v>
      </c>
      <c r="E990" t="s">
        <v>74</v>
      </c>
      <c r="F990" t="s">
        <v>13719</v>
      </c>
      <c r="G990" t="s">
        <v>74</v>
      </c>
      <c r="H990" t="s">
        <v>74</v>
      </c>
      <c r="I990" t="s">
        <v>13720</v>
      </c>
      <c r="J990" t="s">
        <v>13633</v>
      </c>
      <c r="K990" t="s">
        <v>74</v>
      </c>
      <c r="L990" t="s">
        <v>74</v>
      </c>
      <c r="M990" t="s">
        <v>77</v>
      </c>
      <c r="N990" t="s">
        <v>13171</v>
      </c>
      <c r="O990" t="s">
        <v>13634</v>
      </c>
      <c r="P990" t="s">
        <v>13635</v>
      </c>
      <c r="Q990" t="s">
        <v>13636</v>
      </c>
      <c r="R990" t="s">
        <v>74</v>
      </c>
      <c r="S990" t="s">
        <v>13637</v>
      </c>
      <c r="T990" t="s">
        <v>13721</v>
      </c>
      <c r="U990" t="s">
        <v>13722</v>
      </c>
      <c r="V990" t="s">
        <v>13723</v>
      </c>
      <c r="W990" t="s">
        <v>705</v>
      </c>
      <c r="X990" t="s">
        <v>706</v>
      </c>
      <c r="Y990" t="s">
        <v>7027</v>
      </c>
      <c r="Z990" t="s">
        <v>74</v>
      </c>
      <c r="AA990" t="s">
        <v>7003</v>
      </c>
      <c r="AB990" t="s">
        <v>7029</v>
      </c>
      <c r="AC990" t="s">
        <v>74</v>
      </c>
      <c r="AD990" t="s">
        <v>74</v>
      </c>
      <c r="AE990" t="s">
        <v>74</v>
      </c>
      <c r="AF990" t="s">
        <v>74</v>
      </c>
      <c r="AG990">
        <v>23</v>
      </c>
      <c r="AH990">
        <v>12</v>
      </c>
      <c r="AI990">
        <v>13</v>
      </c>
      <c r="AJ990">
        <v>1</v>
      </c>
      <c r="AK990">
        <v>9</v>
      </c>
      <c r="AL990" t="s">
        <v>13643</v>
      </c>
      <c r="AM990" t="s">
        <v>13644</v>
      </c>
      <c r="AN990" t="s">
        <v>13645</v>
      </c>
      <c r="AO990" t="s">
        <v>74</v>
      </c>
      <c r="AP990" t="s">
        <v>74</v>
      </c>
      <c r="AQ990" t="s">
        <v>13646</v>
      </c>
      <c r="AR990" t="s">
        <v>74</v>
      </c>
      <c r="AS990" t="s">
        <v>74</v>
      </c>
      <c r="AT990" t="s">
        <v>74</v>
      </c>
      <c r="AU990">
        <v>2003</v>
      </c>
      <c r="AV990" t="s">
        <v>74</v>
      </c>
      <c r="AW990" t="s">
        <v>74</v>
      </c>
      <c r="AX990" t="s">
        <v>74</v>
      </c>
      <c r="AY990" t="s">
        <v>74</v>
      </c>
      <c r="AZ990" t="s">
        <v>74</v>
      </c>
      <c r="BA990" t="s">
        <v>74</v>
      </c>
      <c r="BB990">
        <v>74</v>
      </c>
      <c r="BC990">
        <v>78</v>
      </c>
      <c r="BD990" t="s">
        <v>74</v>
      </c>
      <c r="BE990" t="s">
        <v>74</v>
      </c>
      <c r="BF990" t="s">
        <v>74</v>
      </c>
      <c r="BG990" t="s">
        <v>74</v>
      </c>
      <c r="BH990" t="s">
        <v>74</v>
      </c>
      <c r="BI990">
        <v>5</v>
      </c>
      <c r="BJ990" t="s">
        <v>13647</v>
      </c>
      <c r="BK990" t="s">
        <v>13181</v>
      </c>
      <c r="BL990" t="s">
        <v>4486</v>
      </c>
      <c r="BM990" t="s">
        <v>13648</v>
      </c>
      <c r="BN990" t="s">
        <v>74</v>
      </c>
      <c r="BO990" t="s">
        <v>74</v>
      </c>
      <c r="BP990" t="s">
        <v>74</v>
      </c>
      <c r="BQ990" t="s">
        <v>74</v>
      </c>
      <c r="BR990" t="s">
        <v>97</v>
      </c>
      <c r="BS990" t="s">
        <v>13724</v>
      </c>
      <c r="BT990" t="str">
        <f>HYPERLINK("https%3A%2F%2Fwww.webofscience.com%2Fwos%2Fwoscc%2Ffull-record%2FWOS:000183287900010","View Full Record in Web of Science")</f>
        <v>View Full Record in Web of Science</v>
      </c>
    </row>
    <row r="991" spans="1:72" x14ac:dyDescent="0.15">
      <c r="A991" t="s">
        <v>13166</v>
      </c>
      <c r="B991" t="s">
        <v>13725</v>
      </c>
      <c r="C991" t="s">
        <v>74</v>
      </c>
      <c r="D991" t="s">
        <v>13631</v>
      </c>
      <c r="E991" t="s">
        <v>74</v>
      </c>
      <c r="F991" t="s">
        <v>13725</v>
      </c>
      <c r="G991" t="s">
        <v>74</v>
      </c>
      <c r="H991" t="s">
        <v>74</v>
      </c>
      <c r="I991" t="s">
        <v>13726</v>
      </c>
      <c r="J991" t="s">
        <v>13633</v>
      </c>
      <c r="K991" t="s">
        <v>74</v>
      </c>
      <c r="L991" t="s">
        <v>74</v>
      </c>
      <c r="M991" t="s">
        <v>77</v>
      </c>
      <c r="N991" t="s">
        <v>13171</v>
      </c>
      <c r="O991" t="s">
        <v>13634</v>
      </c>
      <c r="P991" t="s">
        <v>13635</v>
      </c>
      <c r="Q991" t="s">
        <v>13636</v>
      </c>
      <c r="R991" t="s">
        <v>74</v>
      </c>
      <c r="S991" t="s">
        <v>13637</v>
      </c>
      <c r="T991" t="s">
        <v>13727</v>
      </c>
      <c r="U991" t="s">
        <v>13728</v>
      </c>
      <c r="V991" t="s">
        <v>13729</v>
      </c>
      <c r="W991" t="s">
        <v>4018</v>
      </c>
      <c r="X991" t="s">
        <v>4019</v>
      </c>
      <c r="Y991" t="s">
        <v>13730</v>
      </c>
      <c r="Z991" t="s">
        <v>74</v>
      </c>
      <c r="AA991" t="s">
        <v>74</v>
      </c>
      <c r="AB991" t="s">
        <v>74</v>
      </c>
      <c r="AC991" t="s">
        <v>74</v>
      </c>
      <c r="AD991" t="s">
        <v>74</v>
      </c>
      <c r="AE991" t="s">
        <v>74</v>
      </c>
      <c r="AF991" t="s">
        <v>74</v>
      </c>
      <c r="AG991">
        <v>25</v>
      </c>
      <c r="AH991">
        <v>43</v>
      </c>
      <c r="AI991">
        <v>45</v>
      </c>
      <c r="AJ991">
        <v>0</v>
      </c>
      <c r="AK991">
        <v>5</v>
      </c>
      <c r="AL991" t="s">
        <v>13643</v>
      </c>
      <c r="AM991" t="s">
        <v>13644</v>
      </c>
      <c r="AN991" t="s">
        <v>13645</v>
      </c>
      <c r="AO991" t="s">
        <v>74</v>
      </c>
      <c r="AP991" t="s">
        <v>74</v>
      </c>
      <c r="AQ991" t="s">
        <v>13646</v>
      </c>
      <c r="AR991" t="s">
        <v>74</v>
      </c>
      <c r="AS991" t="s">
        <v>74</v>
      </c>
      <c r="AT991" t="s">
        <v>74</v>
      </c>
      <c r="AU991">
        <v>2003</v>
      </c>
      <c r="AV991" t="s">
        <v>74</v>
      </c>
      <c r="AW991" t="s">
        <v>74</v>
      </c>
      <c r="AX991" t="s">
        <v>74</v>
      </c>
      <c r="AY991" t="s">
        <v>74</v>
      </c>
      <c r="AZ991" t="s">
        <v>74</v>
      </c>
      <c r="BA991" t="s">
        <v>74</v>
      </c>
      <c r="BB991">
        <v>79</v>
      </c>
      <c r="BC991">
        <v>83</v>
      </c>
      <c r="BD991" t="s">
        <v>74</v>
      </c>
      <c r="BE991" t="s">
        <v>74</v>
      </c>
      <c r="BF991" t="s">
        <v>74</v>
      </c>
      <c r="BG991" t="s">
        <v>74</v>
      </c>
      <c r="BH991" t="s">
        <v>74</v>
      </c>
      <c r="BI991">
        <v>5</v>
      </c>
      <c r="BJ991" t="s">
        <v>13647</v>
      </c>
      <c r="BK991" t="s">
        <v>13181</v>
      </c>
      <c r="BL991" t="s">
        <v>4486</v>
      </c>
      <c r="BM991" t="s">
        <v>13648</v>
      </c>
      <c r="BN991" t="s">
        <v>74</v>
      </c>
      <c r="BO991" t="s">
        <v>74</v>
      </c>
      <c r="BP991" t="s">
        <v>74</v>
      </c>
      <c r="BQ991" t="s">
        <v>74</v>
      </c>
      <c r="BR991" t="s">
        <v>97</v>
      </c>
      <c r="BS991" t="s">
        <v>13731</v>
      </c>
      <c r="BT991" t="str">
        <f>HYPERLINK("https%3A%2F%2Fwww.webofscience.com%2Fwos%2Fwoscc%2Ffull-record%2FWOS:000183287900011","View Full Record in Web of Science")</f>
        <v>View Full Record in Web of Science</v>
      </c>
    </row>
    <row r="992" spans="1:72" x14ac:dyDescent="0.15">
      <c r="A992" t="s">
        <v>13166</v>
      </c>
      <c r="B992" t="s">
        <v>13732</v>
      </c>
      <c r="C992" t="s">
        <v>74</v>
      </c>
      <c r="D992" t="s">
        <v>13631</v>
      </c>
      <c r="E992" t="s">
        <v>74</v>
      </c>
      <c r="F992" t="s">
        <v>13732</v>
      </c>
      <c r="G992" t="s">
        <v>74</v>
      </c>
      <c r="H992" t="s">
        <v>74</v>
      </c>
      <c r="I992" t="s">
        <v>13733</v>
      </c>
      <c r="J992" t="s">
        <v>13633</v>
      </c>
      <c r="K992" t="s">
        <v>74</v>
      </c>
      <c r="L992" t="s">
        <v>74</v>
      </c>
      <c r="M992" t="s">
        <v>77</v>
      </c>
      <c r="N992" t="s">
        <v>13171</v>
      </c>
      <c r="O992" t="s">
        <v>13634</v>
      </c>
      <c r="P992" t="s">
        <v>13635</v>
      </c>
      <c r="Q992" t="s">
        <v>13636</v>
      </c>
      <c r="R992" t="s">
        <v>74</v>
      </c>
      <c r="S992" t="s">
        <v>13637</v>
      </c>
      <c r="T992" t="s">
        <v>13734</v>
      </c>
      <c r="U992" t="s">
        <v>13735</v>
      </c>
      <c r="V992" t="s">
        <v>13736</v>
      </c>
      <c r="W992" t="s">
        <v>6365</v>
      </c>
      <c r="X992" t="s">
        <v>6366</v>
      </c>
      <c r="Y992" t="s">
        <v>13737</v>
      </c>
      <c r="Z992" t="s">
        <v>13738</v>
      </c>
      <c r="AA992" t="s">
        <v>74</v>
      </c>
      <c r="AB992" t="s">
        <v>74</v>
      </c>
      <c r="AC992" t="s">
        <v>74</v>
      </c>
      <c r="AD992" t="s">
        <v>74</v>
      </c>
      <c r="AE992" t="s">
        <v>74</v>
      </c>
      <c r="AF992" t="s">
        <v>74</v>
      </c>
      <c r="AG992">
        <v>47</v>
      </c>
      <c r="AH992">
        <v>3</v>
      </c>
      <c r="AI992">
        <v>3</v>
      </c>
      <c r="AJ992">
        <v>3</v>
      </c>
      <c r="AK992">
        <v>12</v>
      </c>
      <c r="AL992" t="s">
        <v>13643</v>
      </c>
      <c r="AM992" t="s">
        <v>13644</v>
      </c>
      <c r="AN992" t="s">
        <v>13645</v>
      </c>
      <c r="AO992" t="s">
        <v>74</v>
      </c>
      <c r="AP992" t="s">
        <v>74</v>
      </c>
      <c r="AQ992" t="s">
        <v>13646</v>
      </c>
      <c r="AR992" t="s">
        <v>74</v>
      </c>
      <c r="AS992" t="s">
        <v>74</v>
      </c>
      <c r="AT992" t="s">
        <v>74</v>
      </c>
      <c r="AU992">
        <v>2003</v>
      </c>
      <c r="AV992" t="s">
        <v>74</v>
      </c>
      <c r="AW992" t="s">
        <v>74</v>
      </c>
      <c r="AX992" t="s">
        <v>74</v>
      </c>
      <c r="AY992" t="s">
        <v>74</v>
      </c>
      <c r="AZ992" t="s">
        <v>74</v>
      </c>
      <c r="BA992" t="s">
        <v>74</v>
      </c>
      <c r="BB992">
        <v>87</v>
      </c>
      <c r="BC992">
        <v>95</v>
      </c>
      <c r="BD992" t="s">
        <v>74</v>
      </c>
      <c r="BE992" t="s">
        <v>74</v>
      </c>
      <c r="BF992" t="s">
        <v>74</v>
      </c>
      <c r="BG992" t="s">
        <v>74</v>
      </c>
      <c r="BH992" t="s">
        <v>74</v>
      </c>
      <c r="BI992">
        <v>9</v>
      </c>
      <c r="BJ992" t="s">
        <v>13647</v>
      </c>
      <c r="BK992" t="s">
        <v>13181</v>
      </c>
      <c r="BL992" t="s">
        <v>4486</v>
      </c>
      <c r="BM992" t="s">
        <v>13648</v>
      </c>
      <c r="BN992" t="s">
        <v>74</v>
      </c>
      <c r="BO992" t="s">
        <v>74</v>
      </c>
      <c r="BP992" t="s">
        <v>74</v>
      </c>
      <c r="BQ992" t="s">
        <v>74</v>
      </c>
      <c r="BR992" t="s">
        <v>97</v>
      </c>
      <c r="BS992" t="s">
        <v>13739</v>
      </c>
      <c r="BT992" t="str">
        <f>HYPERLINK("https%3A%2F%2Fwww.webofscience.com%2Fwos%2Fwoscc%2Ffull-record%2FWOS:000183287900012","View Full Record in Web of Science")</f>
        <v>View Full Record in Web of Science</v>
      </c>
    </row>
    <row r="993" spans="1:72" x14ac:dyDescent="0.15">
      <c r="A993" t="s">
        <v>13166</v>
      </c>
      <c r="B993" t="s">
        <v>13740</v>
      </c>
      <c r="C993" t="s">
        <v>74</v>
      </c>
      <c r="D993" t="s">
        <v>13631</v>
      </c>
      <c r="E993" t="s">
        <v>74</v>
      </c>
      <c r="F993" t="s">
        <v>13740</v>
      </c>
      <c r="G993" t="s">
        <v>74</v>
      </c>
      <c r="H993" t="s">
        <v>74</v>
      </c>
      <c r="I993" t="s">
        <v>13741</v>
      </c>
      <c r="J993" t="s">
        <v>13633</v>
      </c>
      <c r="K993" t="s">
        <v>74</v>
      </c>
      <c r="L993" t="s">
        <v>74</v>
      </c>
      <c r="M993" t="s">
        <v>77</v>
      </c>
      <c r="N993" t="s">
        <v>13171</v>
      </c>
      <c r="O993" t="s">
        <v>13634</v>
      </c>
      <c r="P993" t="s">
        <v>13635</v>
      </c>
      <c r="Q993" t="s">
        <v>13636</v>
      </c>
      <c r="R993" t="s">
        <v>74</v>
      </c>
      <c r="S993" t="s">
        <v>13637</v>
      </c>
      <c r="T993" t="s">
        <v>13742</v>
      </c>
      <c r="U993" t="s">
        <v>13743</v>
      </c>
      <c r="V993" t="s">
        <v>13744</v>
      </c>
      <c r="W993" t="s">
        <v>370</v>
      </c>
      <c r="X993" t="s">
        <v>371</v>
      </c>
      <c r="Y993" t="s">
        <v>13745</v>
      </c>
      <c r="Z993" t="s">
        <v>74</v>
      </c>
      <c r="AA993" t="s">
        <v>74</v>
      </c>
      <c r="AB993" t="s">
        <v>74</v>
      </c>
      <c r="AC993" t="s">
        <v>74</v>
      </c>
      <c r="AD993" t="s">
        <v>74</v>
      </c>
      <c r="AE993" t="s">
        <v>74</v>
      </c>
      <c r="AF993" t="s">
        <v>74</v>
      </c>
      <c r="AG993">
        <v>33</v>
      </c>
      <c r="AH993">
        <v>7</v>
      </c>
      <c r="AI993">
        <v>9</v>
      </c>
      <c r="AJ993">
        <v>0</v>
      </c>
      <c r="AK993">
        <v>11</v>
      </c>
      <c r="AL993" t="s">
        <v>13643</v>
      </c>
      <c r="AM993" t="s">
        <v>13644</v>
      </c>
      <c r="AN993" t="s">
        <v>13645</v>
      </c>
      <c r="AO993" t="s">
        <v>74</v>
      </c>
      <c r="AP993" t="s">
        <v>74</v>
      </c>
      <c r="AQ993" t="s">
        <v>13646</v>
      </c>
      <c r="AR993" t="s">
        <v>74</v>
      </c>
      <c r="AS993" t="s">
        <v>74</v>
      </c>
      <c r="AT993" t="s">
        <v>74</v>
      </c>
      <c r="AU993">
        <v>2003</v>
      </c>
      <c r="AV993" t="s">
        <v>74</v>
      </c>
      <c r="AW993" t="s">
        <v>74</v>
      </c>
      <c r="AX993" t="s">
        <v>74</v>
      </c>
      <c r="AY993" t="s">
        <v>74</v>
      </c>
      <c r="AZ993" t="s">
        <v>74</v>
      </c>
      <c r="BA993" t="s">
        <v>74</v>
      </c>
      <c r="BB993">
        <v>96</v>
      </c>
      <c r="BC993">
        <v>101</v>
      </c>
      <c r="BD993" t="s">
        <v>74</v>
      </c>
      <c r="BE993" t="s">
        <v>74</v>
      </c>
      <c r="BF993" t="s">
        <v>74</v>
      </c>
      <c r="BG993" t="s">
        <v>74</v>
      </c>
      <c r="BH993" t="s">
        <v>74</v>
      </c>
      <c r="BI993">
        <v>6</v>
      </c>
      <c r="BJ993" t="s">
        <v>13647</v>
      </c>
      <c r="BK993" t="s">
        <v>13181</v>
      </c>
      <c r="BL993" t="s">
        <v>4486</v>
      </c>
      <c r="BM993" t="s">
        <v>13648</v>
      </c>
      <c r="BN993" t="s">
        <v>74</v>
      </c>
      <c r="BO993" t="s">
        <v>74</v>
      </c>
      <c r="BP993" t="s">
        <v>74</v>
      </c>
      <c r="BQ993" t="s">
        <v>74</v>
      </c>
      <c r="BR993" t="s">
        <v>97</v>
      </c>
      <c r="BS993" t="s">
        <v>13746</v>
      </c>
      <c r="BT993" t="str">
        <f>HYPERLINK("https%3A%2F%2Fwww.webofscience.com%2Fwos%2Fwoscc%2Ffull-record%2FWOS:000183287900013","View Full Record in Web of Science")</f>
        <v>View Full Record in Web of Science</v>
      </c>
    </row>
    <row r="994" spans="1:72" x14ac:dyDescent="0.15">
      <c r="A994" t="s">
        <v>13166</v>
      </c>
      <c r="B994" t="s">
        <v>13747</v>
      </c>
      <c r="C994" t="s">
        <v>74</v>
      </c>
      <c r="D994" t="s">
        <v>13631</v>
      </c>
      <c r="E994" t="s">
        <v>74</v>
      </c>
      <c r="F994" t="s">
        <v>13747</v>
      </c>
      <c r="G994" t="s">
        <v>74</v>
      </c>
      <c r="H994" t="s">
        <v>74</v>
      </c>
      <c r="I994" t="s">
        <v>13748</v>
      </c>
      <c r="J994" t="s">
        <v>13633</v>
      </c>
      <c r="K994" t="s">
        <v>74</v>
      </c>
      <c r="L994" t="s">
        <v>74</v>
      </c>
      <c r="M994" t="s">
        <v>77</v>
      </c>
      <c r="N994" t="s">
        <v>13171</v>
      </c>
      <c r="O994" t="s">
        <v>13634</v>
      </c>
      <c r="P994" t="s">
        <v>13635</v>
      </c>
      <c r="Q994" t="s">
        <v>13636</v>
      </c>
      <c r="R994" t="s">
        <v>74</v>
      </c>
      <c r="S994" t="s">
        <v>13637</v>
      </c>
      <c r="T994" t="s">
        <v>13749</v>
      </c>
      <c r="U994" t="s">
        <v>13750</v>
      </c>
      <c r="V994" t="s">
        <v>13751</v>
      </c>
      <c r="W994" t="s">
        <v>13752</v>
      </c>
      <c r="X994" t="s">
        <v>8888</v>
      </c>
      <c r="Y994" t="s">
        <v>13753</v>
      </c>
      <c r="Z994" t="s">
        <v>74</v>
      </c>
      <c r="AA994" t="s">
        <v>13754</v>
      </c>
      <c r="AB994" t="s">
        <v>13755</v>
      </c>
      <c r="AC994" t="s">
        <v>74</v>
      </c>
      <c r="AD994" t="s">
        <v>74</v>
      </c>
      <c r="AE994" t="s">
        <v>74</v>
      </c>
      <c r="AF994" t="s">
        <v>74</v>
      </c>
      <c r="AG994">
        <v>18</v>
      </c>
      <c r="AH994">
        <v>0</v>
      </c>
      <c r="AI994">
        <v>0</v>
      </c>
      <c r="AJ994">
        <v>2</v>
      </c>
      <c r="AK994">
        <v>15</v>
      </c>
      <c r="AL994" t="s">
        <v>13643</v>
      </c>
      <c r="AM994" t="s">
        <v>13644</v>
      </c>
      <c r="AN994" t="s">
        <v>13645</v>
      </c>
      <c r="AO994" t="s">
        <v>74</v>
      </c>
      <c r="AP994" t="s">
        <v>74</v>
      </c>
      <c r="AQ994" t="s">
        <v>13646</v>
      </c>
      <c r="AR994" t="s">
        <v>74</v>
      </c>
      <c r="AS994" t="s">
        <v>74</v>
      </c>
      <c r="AT994" t="s">
        <v>74</v>
      </c>
      <c r="AU994">
        <v>2003</v>
      </c>
      <c r="AV994" t="s">
        <v>74</v>
      </c>
      <c r="AW994" t="s">
        <v>74</v>
      </c>
      <c r="AX994" t="s">
        <v>74</v>
      </c>
      <c r="AY994" t="s">
        <v>74</v>
      </c>
      <c r="AZ994" t="s">
        <v>74</v>
      </c>
      <c r="BA994" t="s">
        <v>74</v>
      </c>
      <c r="BB994">
        <v>102</v>
      </c>
      <c r="BC994">
        <v>106</v>
      </c>
      <c r="BD994" t="s">
        <v>74</v>
      </c>
      <c r="BE994" t="s">
        <v>74</v>
      </c>
      <c r="BF994" t="s">
        <v>74</v>
      </c>
      <c r="BG994" t="s">
        <v>74</v>
      </c>
      <c r="BH994" t="s">
        <v>74</v>
      </c>
      <c r="BI994">
        <v>5</v>
      </c>
      <c r="BJ994" t="s">
        <v>13647</v>
      </c>
      <c r="BK994" t="s">
        <v>13181</v>
      </c>
      <c r="BL994" t="s">
        <v>4486</v>
      </c>
      <c r="BM994" t="s">
        <v>13648</v>
      </c>
      <c r="BN994" t="s">
        <v>74</v>
      </c>
      <c r="BO994" t="s">
        <v>74</v>
      </c>
      <c r="BP994" t="s">
        <v>74</v>
      </c>
      <c r="BQ994" t="s">
        <v>74</v>
      </c>
      <c r="BR994" t="s">
        <v>97</v>
      </c>
      <c r="BS994" t="s">
        <v>13756</v>
      </c>
      <c r="BT994" t="str">
        <f>HYPERLINK("https%3A%2F%2Fwww.webofscience.com%2Fwos%2Fwoscc%2Ffull-record%2FWOS:000183287900014","View Full Record in Web of Science")</f>
        <v>View Full Record in Web of Science</v>
      </c>
    </row>
    <row r="995" spans="1:72" x14ac:dyDescent="0.15">
      <c r="A995" t="s">
        <v>13166</v>
      </c>
      <c r="B995" t="s">
        <v>13757</v>
      </c>
      <c r="C995" t="s">
        <v>74</v>
      </c>
      <c r="D995" t="s">
        <v>13631</v>
      </c>
      <c r="E995" t="s">
        <v>74</v>
      </c>
      <c r="F995" t="s">
        <v>13757</v>
      </c>
      <c r="G995" t="s">
        <v>74</v>
      </c>
      <c r="H995" t="s">
        <v>74</v>
      </c>
      <c r="I995" t="s">
        <v>13758</v>
      </c>
      <c r="J995" t="s">
        <v>13633</v>
      </c>
      <c r="K995" t="s">
        <v>74</v>
      </c>
      <c r="L995" t="s">
        <v>74</v>
      </c>
      <c r="M995" t="s">
        <v>77</v>
      </c>
      <c r="N995" t="s">
        <v>13171</v>
      </c>
      <c r="O995" t="s">
        <v>13634</v>
      </c>
      <c r="P995" t="s">
        <v>13635</v>
      </c>
      <c r="Q995" t="s">
        <v>13636</v>
      </c>
      <c r="R995" t="s">
        <v>74</v>
      </c>
      <c r="S995" t="s">
        <v>13637</v>
      </c>
      <c r="T995" t="s">
        <v>13759</v>
      </c>
      <c r="U995" t="s">
        <v>13760</v>
      </c>
      <c r="V995" t="s">
        <v>13761</v>
      </c>
      <c r="W995" t="s">
        <v>13762</v>
      </c>
      <c r="X995" t="s">
        <v>7017</v>
      </c>
      <c r="Y995" t="s">
        <v>13763</v>
      </c>
      <c r="Z995" t="s">
        <v>74</v>
      </c>
      <c r="AA995" t="s">
        <v>13764</v>
      </c>
      <c r="AB995" t="s">
        <v>13765</v>
      </c>
      <c r="AC995" t="s">
        <v>74</v>
      </c>
      <c r="AD995" t="s">
        <v>74</v>
      </c>
      <c r="AE995" t="s">
        <v>74</v>
      </c>
      <c r="AF995" t="s">
        <v>74</v>
      </c>
      <c r="AG995">
        <v>44</v>
      </c>
      <c r="AH995">
        <v>3</v>
      </c>
      <c r="AI995">
        <v>3</v>
      </c>
      <c r="AJ995">
        <v>0</v>
      </c>
      <c r="AK995">
        <v>3</v>
      </c>
      <c r="AL995" t="s">
        <v>13643</v>
      </c>
      <c r="AM995" t="s">
        <v>13644</v>
      </c>
      <c r="AN995" t="s">
        <v>13645</v>
      </c>
      <c r="AO995" t="s">
        <v>74</v>
      </c>
      <c r="AP995" t="s">
        <v>74</v>
      </c>
      <c r="AQ995" t="s">
        <v>13646</v>
      </c>
      <c r="AR995" t="s">
        <v>74</v>
      </c>
      <c r="AS995" t="s">
        <v>74</v>
      </c>
      <c r="AT995" t="s">
        <v>74</v>
      </c>
      <c r="AU995">
        <v>2003</v>
      </c>
      <c r="AV995" t="s">
        <v>74</v>
      </c>
      <c r="AW995" t="s">
        <v>74</v>
      </c>
      <c r="AX995" t="s">
        <v>74</v>
      </c>
      <c r="AY995" t="s">
        <v>74</v>
      </c>
      <c r="AZ995" t="s">
        <v>74</v>
      </c>
      <c r="BA995" t="s">
        <v>74</v>
      </c>
      <c r="BB995">
        <v>107</v>
      </c>
      <c r="BC995">
        <v>112</v>
      </c>
      <c r="BD995" t="s">
        <v>74</v>
      </c>
      <c r="BE995" t="s">
        <v>74</v>
      </c>
      <c r="BF995" t="s">
        <v>74</v>
      </c>
      <c r="BG995" t="s">
        <v>74</v>
      </c>
      <c r="BH995" t="s">
        <v>74</v>
      </c>
      <c r="BI995">
        <v>6</v>
      </c>
      <c r="BJ995" t="s">
        <v>13647</v>
      </c>
      <c r="BK995" t="s">
        <v>13181</v>
      </c>
      <c r="BL995" t="s">
        <v>4486</v>
      </c>
      <c r="BM995" t="s">
        <v>13648</v>
      </c>
      <c r="BN995" t="s">
        <v>74</v>
      </c>
      <c r="BO995" t="s">
        <v>74</v>
      </c>
      <c r="BP995" t="s">
        <v>74</v>
      </c>
      <c r="BQ995" t="s">
        <v>74</v>
      </c>
      <c r="BR995" t="s">
        <v>97</v>
      </c>
      <c r="BS995" t="s">
        <v>13766</v>
      </c>
      <c r="BT995" t="str">
        <f>HYPERLINK("https%3A%2F%2Fwww.webofscience.com%2Fwos%2Fwoscc%2Ffull-record%2FWOS:000183287900015","View Full Record in Web of Science")</f>
        <v>View Full Record in Web of Science</v>
      </c>
    </row>
    <row r="996" spans="1:72" x14ac:dyDescent="0.15">
      <c r="A996" t="s">
        <v>13166</v>
      </c>
      <c r="B996" t="s">
        <v>13767</v>
      </c>
      <c r="C996" t="s">
        <v>74</v>
      </c>
      <c r="D996" t="s">
        <v>13631</v>
      </c>
      <c r="E996" t="s">
        <v>74</v>
      </c>
      <c r="F996" t="s">
        <v>13767</v>
      </c>
      <c r="G996" t="s">
        <v>74</v>
      </c>
      <c r="H996" t="s">
        <v>74</v>
      </c>
      <c r="I996" t="s">
        <v>13768</v>
      </c>
      <c r="J996" t="s">
        <v>13633</v>
      </c>
      <c r="K996" t="s">
        <v>74</v>
      </c>
      <c r="L996" t="s">
        <v>74</v>
      </c>
      <c r="M996" t="s">
        <v>77</v>
      </c>
      <c r="N996" t="s">
        <v>13171</v>
      </c>
      <c r="O996" t="s">
        <v>13634</v>
      </c>
      <c r="P996" t="s">
        <v>13635</v>
      </c>
      <c r="Q996" t="s">
        <v>13636</v>
      </c>
      <c r="R996" t="s">
        <v>74</v>
      </c>
      <c r="S996" t="s">
        <v>13637</v>
      </c>
      <c r="T996" t="s">
        <v>13769</v>
      </c>
      <c r="U996" t="s">
        <v>13770</v>
      </c>
      <c r="V996" t="s">
        <v>13771</v>
      </c>
      <c r="W996" t="s">
        <v>13772</v>
      </c>
      <c r="X996" t="s">
        <v>1566</v>
      </c>
      <c r="Y996" t="s">
        <v>13773</v>
      </c>
      <c r="Z996" t="s">
        <v>74</v>
      </c>
      <c r="AA996" t="s">
        <v>74</v>
      </c>
      <c r="AB996" t="s">
        <v>74</v>
      </c>
      <c r="AC996" t="s">
        <v>74</v>
      </c>
      <c r="AD996" t="s">
        <v>74</v>
      </c>
      <c r="AE996" t="s">
        <v>74</v>
      </c>
      <c r="AF996" t="s">
        <v>74</v>
      </c>
      <c r="AG996">
        <v>21</v>
      </c>
      <c r="AH996">
        <v>1</v>
      </c>
      <c r="AI996">
        <v>1</v>
      </c>
      <c r="AJ996">
        <v>0</v>
      </c>
      <c r="AK996">
        <v>2</v>
      </c>
      <c r="AL996" t="s">
        <v>13643</v>
      </c>
      <c r="AM996" t="s">
        <v>13644</v>
      </c>
      <c r="AN996" t="s">
        <v>13645</v>
      </c>
      <c r="AO996" t="s">
        <v>74</v>
      </c>
      <c r="AP996" t="s">
        <v>74</v>
      </c>
      <c r="AQ996" t="s">
        <v>13646</v>
      </c>
      <c r="AR996" t="s">
        <v>74</v>
      </c>
      <c r="AS996" t="s">
        <v>74</v>
      </c>
      <c r="AT996" t="s">
        <v>74</v>
      </c>
      <c r="AU996">
        <v>2003</v>
      </c>
      <c r="AV996" t="s">
        <v>74</v>
      </c>
      <c r="AW996" t="s">
        <v>74</v>
      </c>
      <c r="AX996" t="s">
        <v>74</v>
      </c>
      <c r="AY996" t="s">
        <v>74</v>
      </c>
      <c r="AZ996" t="s">
        <v>74</v>
      </c>
      <c r="BA996" t="s">
        <v>74</v>
      </c>
      <c r="BB996">
        <v>113</v>
      </c>
      <c r="BC996">
        <v>116</v>
      </c>
      <c r="BD996" t="s">
        <v>74</v>
      </c>
      <c r="BE996" t="s">
        <v>74</v>
      </c>
      <c r="BF996" t="s">
        <v>74</v>
      </c>
      <c r="BG996" t="s">
        <v>74</v>
      </c>
      <c r="BH996" t="s">
        <v>74</v>
      </c>
      <c r="BI996">
        <v>4</v>
      </c>
      <c r="BJ996" t="s">
        <v>13647</v>
      </c>
      <c r="BK996" t="s">
        <v>13181</v>
      </c>
      <c r="BL996" t="s">
        <v>4486</v>
      </c>
      <c r="BM996" t="s">
        <v>13648</v>
      </c>
      <c r="BN996" t="s">
        <v>74</v>
      </c>
      <c r="BO996" t="s">
        <v>74</v>
      </c>
      <c r="BP996" t="s">
        <v>74</v>
      </c>
      <c r="BQ996" t="s">
        <v>74</v>
      </c>
      <c r="BR996" t="s">
        <v>97</v>
      </c>
      <c r="BS996" t="s">
        <v>13774</v>
      </c>
      <c r="BT996" t="str">
        <f>HYPERLINK("https%3A%2F%2Fwww.webofscience.com%2Fwos%2Fwoscc%2Ffull-record%2FWOS:000183287900016","View Full Record in Web of Science")</f>
        <v>View Full Record in Web of Science</v>
      </c>
    </row>
    <row r="997" spans="1:72" x14ac:dyDescent="0.15">
      <c r="A997" t="s">
        <v>13166</v>
      </c>
      <c r="B997" t="s">
        <v>13775</v>
      </c>
      <c r="C997" t="s">
        <v>74</v>
      </c>
      <c r="D997" t="s">
        <v>13631</v>
      </c>
      <c r="E997" t="s">
        <v>74</v>
      </c>
      <c r="F997" t="s">
        <v>13775</v>
      </c>
      <c r="G997" t="s">
        <v>74</v>
      </c>
      <c r="H997" t="s">
        <v>74</v>
      </c>
      <c r="I997" t="s">
        <v>13776</v>
      </c>
      <c r="J997" t="s">
        <v>13633</v>
      </c>
      <c r="K997" t="s">
        <v>74</v>
      </c>
      <c r="L997" t="s">
        <v>74</v>
      </c>
      <c r="M997" t="s">
        <v>77</v>
      </c>
      <c r="N997" t="s">
        <v>13171</v>
      </c>
      <c r="O997" t="s">
        <v>13634</v>
      </c>
      <c r="P997" t="s">
        <v>13635</v>
      </c>
      <c r="Q997" t="s">
        <v>13636</v>
      </c>
      <c r="R997" t="s">
        <v>74</v>
      </c>
      <c r="S997" t="s">
        <v>13637</v>
      </c>
      <c r="T997" t="s">
        <v>13777</v>
      </c>
      <c r="U997" t="s">
        <v>13778</v>
      </c>
      <c r="V997" t="s">
        <v>13779</v>
      </c>
      <c r="W997" t="s">
        <v>13780</v>
      </c>
      <c r="X997" t="s">
        <v>1566</v>
      </c>
      <c r="Y997" t="s">
        <v>13781</v>
      </c>
      <c r="Z997" t="s">
        <v>13782</v>
      </c>
      <c r="AA997" t="s">
        <v>13783</v>
      </c>
      <c r="AB997" t="s">
        <v>13784</v>
      </c>
      <c r="AC997" t="s">
        <v>74</v>
      </c>
      <c r="AD997" t="s">
        <v>74</v>
      </c>
      <c r="AE997" t="s">
        <v>74</v>
      </c>
      <c r="AF997" t="s">
        <v>74</v>
      </c>
      <c r="AG997">
        <v>31</v>
      </c>
      <c r="AH997">
        <v>3</v>
      </c>
      <c r="AI997">
        <v>3</v>
      </c>
      <c r="AJ997">
        <v>0</v>
      </c>
      <c r="AK997">
        <v>2</v>
      </c>
      <c r="AL997" t="s">
        <v>13643</v>
      </c>
      <c r="AM997" t="s">
        <v>13644</v>
      </c>
      <c r="AN997" t="s">
        <v>13645</v>
      </c>
      <c r="AO997" t="s">
        <v>74</v>
      </c>
      <c r="AP997" t="s">
        <v>74</v>
      </c>
      <c r="AQ997" t="s">
        <v>13646</v>
      </c>
      <c r="AR997" t="s">
        <v>74</v>
      </c>
      <c r="AS997" t="s">
        <v>74</v>
      </c>
      <c r="AT997" t="s">
        <v>74</v>
      </c>
      <c r="AU997">
        <v>2003</v>
      </c>
      <c r="AV997" t="s">
        <v>74</v>
      </c>
      <c r="AW997" t="s">
        <v>74</v>
      </c>
      <c r="AX997" t="s">
        <v>74</v>
      </c>
      <c r="AY997" t="s">
        <v>74</v>
      </c>
      <c r="AZ997" t="s">
        <v>74</v>
      </c>
      <c r="BA997" t="s">
        <v>74</v>
      </c>
      <c r="BB997">
        <v>117</v>
      </c>
      <c r="BC997">
        <v>120</v>
      </c>
      <c r="BD997" t="s">
        <v>74</v>
      </c>
      <c r="BE997" t="s">
        <v>74</v>
      </c>
      <c r="BF997" t="s">
        <v>74</v>
      </c>
      <c r="BG997" t="s">
        <v>74</v>
      </c>
      <c r="BH997" t="s">
        <v>74</v>
      </c>
      <c r="BI997">
        <v>4</v>
      </c>
      <c r="BJ997" t="s">
        <v>13647</v>
      </c>
      <c r="BK997" t="s">
        <v>13181</v>
      </c>
      <c r="BL997" t="s">
        <v>4486</v>
      </c>
      <c r="BM997" t="s">
        <v>13648</v>
      </c>
      <c r="BN997" t="s">
        <v>74</v>
      </c>
      <c r="BO997" t="s">
        <v>74</v>
      </c>
      <c r="BP997" t="s">
        <v>74</v>
      </c>
      <c r="BQ997" t="s">
        <v>74</v>
      </c>
      <c r="BR997" t="s">
        <v>97</v>
      </c>
      <c r="BS997" t="s">
        <v>13785</v>
      </c>
      <c r="BT997" t="str">
        <f>HYPERLINK("https%3A%2F%2Fwww.webofscience.com%2Fwos%2Fwoscc%2Ffull-record%2FWOS:000183287900017","View Full Record in Web of Science")</f>
        <v>View Full Record in Web of Science</v>
      </c>
    </row>
    <row r="998" spans="1:72" x14ac:dyDescent="0.15">
      <c r="A998" t="s">
        <v>13166</v>
      </c>
      <c r="B998" t="s">
        <v>13786</v>
      </c>
      <c r="C998" t="s">
        <v>74</v>
      </c>
      <c r="D998" t="s">
        <v>13631</v>
      </c>
      <c r="E998" t="s">
        <v>74</v>
      </c>
      <c r="F998" t="s">
        <v>13786</v>
      </c>
      <c r="G998" t="s">
        <v>74</v>
      </c>
      <c r="H998" t="s">
        <v>74</v>
      </c>
      <c r="I998" t="s">
        <v>13787</v>
      </c>
      <c r="J998" t="s">
        <v>13633</v>
      </c>
      <c r="K998" t="s">
        <v>74</v>
      </c>
      <c r="L998" t="s">
        <v>74</v>
      </c>
      <c r="M998" t="s">
        <v>77</v>
      </c>
      <c r="N998" t="s">
        <v>13171</v>
      </c>
      <c r="O998" t="s">
        <v>13634</v>
      </c>
      <c r="P998" t="s">
        <v>13635</v>
      </c>
      <c r="Q998" t="s">
        <v>13636</v>
      </c>
      <c r="R998" t="s">
        <v>74</v>
      </c>
      <c r="S998" t="s">
        <v>13637</v>
      </c>
      <c r="T998" t="s">
        <v>13788</v>
      </c>
      <c r="U998" t="s">
        <v>13789</v>
      </c>
      <c r="V998" t="s">
        <v>13790</v>
      </c>
      <c r="W998" t="s">
        <v>13655</v>
      </c>
      <c r="X998" t="s">
        <v>3733</v>
      </c>
      <c r="Y998" t="s">
        <v>13791</v>
      </c>
      <c r="Z998" t="s">
        <v>74</v>
      </c>
      <c r="AA998" t="s">
        <v>13792</v>
      </c>
      <c r="AB998" t="s">
        <v>13793</v>
      </c>
      <c r="AC998" t="s">
        <v>74</v>
      </c>
      <c r="AD998" t="s">
        <v>74</v>
      </c>
      <c r="AE998" t="s">
        <v>74</v>
      </c>
      <c r="AF998" t="s">
        <v>74</v>
      </c>
      <c r="AG998">
        <v>57</v>
      </c>
      <c r="AH998">
        <v>9</v>
      </c>
      <c r="AI998">
        <v>9</v>
      </c>
      <c r="AJ998">
        <v>0</v>
      </c>
      <c r="AK998">
        <v>2</v>
      </c>
      <c r="AL998" t="s">
        <v>13643</v>
      </c>
      <c r="AM998" t="s">
        <v>13644</v>
      </c>
      <c r="AN998" t="s">
        <v>13645</v>
      </c>
      <c r="AO998" t="s">
        <v>74</v>
      </c>
      <c r="AP998" t="s">
        <v>74</v>
      </c>
      <c r="AQ998" t="s">
        <v>13646</v>
      </c>
      <c r="AR998" t="s">
        <v>74</v>
      </c>
      <c r="AS998" t="s">
        <v>74</v>
      </c>
      <c r="AT998" t="s">
        <v>74</v>
      </c>
      <c r="AU998">
        <v>2003</v>
      </c>
      <c r="AV998" t="s">
        <v>74</v>
      </c>
      <c r="AW998" t="s">
        <v>74</v>
      </c>
      <c r="AX998" t="s">
        <v>74</v>
      </c>
      <c r="AY998" t="s">
        <v>74</v>
      </c>
      <c r="AZ998" t="s">
        <v>74</v>
      </c>
      <c r="BA998" t="s">
        <v>74</v>
      </c>
      <c r="BB998">
        <v>121</v>
      </c>
      <c r="BC998">
        <v>128</v>
      </c>
      <c r="BD998" t="s">
        <v>74</v>
      </c>
      <c r="BE998" t="s">
        <v>74</v>
      </c>
      <c r="BF998" t="s">
        <v>74</v>
      </c>
      <c r="BG998" t="s">
        <v>74</v>
      </c>
      <c r="BH998" t="s">
        <v>74</v>
      </c>
      <c r="BI998">
        <v>8</v>
      </c>
      <c r="BJ998" t="s">
        <v>13647</v>
      </c>
      <c r="BK998" t="s">
        <v>13181</v>
      </c>
      <c r="BL998" t="s">
        <v>4486</v>
      </c>
      <c r="BM998" t="s">
        <v>13648</v>
      </c>
      <c r="BN998" t="s">
        <v>74</v>
      </c>
      <c r="BO998" t="s">
        <v>74</v>
      </c>
      <c r="BP998" t="s">
        <v>74</v>
      </c>
      <c r="BQ998" t="s">
        <v>74</v>
      </c>
      <c r="BR998" t="s">
        <v>97</v>
      </c>
      <c r="BS998" t="s">
        <v>13794</v>
      </c>
      <c r="BT998" t="str">
        <f>HYPERLINK("https%3A%2F%2Fwww.webofscience.com%2Fwos%2Fwoscc%2Ffull-record%2FWOS:000183287900018","View Full Record in Web of Science")</f>
        <v>View Full Record in Web of Science</v>
      </c>
    </row>
    <row r="999" spans="1:72" x14ac:dyDescent="0.15">
      <c r="A999" t="s">
        <v>13166</v>
      </c>
      <c r="B999" t="s">
        <v>13795</v>
      </c>
      <c r="C999" t="s">
        <v>74</v>
      </c>
      <c r="D999" t="s">
        <v>13631</v>
      </c>
      <c r="E999" t="s">
        <v>74</v>
      </c>
      <c r="F999" t="s">
        <v>13795</v>
      </c>
      <c r="G999" t="s">
        <v>74</v>
      </c>
      <c r="H999" t="s">
        <v>74</v>
      </c>
      <c r="I999" t="s">
        <v>13796</v>
      </c>
      <c r="J999" t="s">
        <v>13633</v>
      </c>
      <c r="K999" t="s">
        <v>74</v>
      </c>
      <c r="L999" t="s">
        <v>74</v>
      </c>
      <c r="M999" t="s">
        <v>77</v>
      </c>
      <c r="N999" t="s">
        <v>13171</v>
      </c>
      <c r="O999" t="s">
        <v>13634</v>
      </c>
      <c r="P999" t="s">
        <v>13635</v>
      </c>
      <c r="Q999" t="s">
        <v>13636</v>
      </c>
      <c r="R999" t="s">
        <v>74</v>
      </c>
      <c r="S999" t="s">
        <v>13637</v>
      </c>
      <c r="T999" t="s">
        <v>13797</v>
      </c>
      <c r="U999" t="s">
        <v>13798</v>
      </c>
      <c r="V999" t="s">
        <v>13799</v>
      </c>
      <c r="W999" t="s">
        <v>13800</v>
      </c>
      <c r="X999" t="s">
        <v>74</v>
      </c>
      <c r="Y999" t="s">
        <v>13801</v>
      </c>
      <c r="Z999" t="s">
        <v>74</v>
      </c>
      <c r="AA999" t="s">
        <v>74</v>
      </c>
      <c r="AB999" t="s">
        <v>74</v>
      </c>
      <c r="AC999" t="s">
        <v>74</v>
      </c>
      <c r="AD999" t="s">
        <v>74</v>
      </c>
      <c r="AE999" t="s">
        <v>74</v>
      </c>
      <c r="AF999" t="s">
        <v>74</v>
      </c>
      <c r="AG999">
        <v>25</v>
      </c>
      <c r="AH999">
        <v>38</v>
      </c>
      <c r="AI999">
        <v>39</v>
      </c>
      <c r="AJ999">
        <v>2</v>
      </c>
      <c r="AK999">
        <v>12</v>
      </c>
      <c r="AL999" t="s">
        <v>13643</v>
      </c>
      <c r="AM999" t="s">
        <v>13644</v>
      </c>
      <c r="AN999" t="s">
        <v>13645</v>
      </c>
      <c r="AO999" t="s">
        <v>74</v>
      </c>
      <c r="AP999" t="s">
        <v>74</v>
      </c>
      <c r="AQ999" t="s">
        <v>13646</v>
      </c>
      <c r="AR999" t="s">
        <v>74</v>
      </c>
      <c r="AS999" t="s">
        <v>74</v>
      </c>
      <c r="AT999" t="s">
        <v>74</v>
      </c>
      <c r="AU999">
        <v>2003</v>
      </c>
      <c r="AV999" t="s">
        <v>74</v>
      </c>
      <c r="AW999" t="s">
        <v>74</v>
      </c>
      <c r="AX999" t="s">
        <v>74</v>
      </c>
      <c r="AY999" t="s">
        <v>74</v>
      </c>
      <c r="AZ999" t="s">
        <v>74</v>
      </c>
      <c r="BA999" t="s">
        <v>74</v>
      </c>
      <c r="BB999">
        <v>129</v>
      </c>
      <c r="BC999">
        <v>134</v>
      </c>
      <c r="BD999" t="s">
        <v>74</v>
      </c>
      <c r="BE999" t="s">
        <v>74</v>
      </c>
      <c r="BF999" t="s">
        <v>74</v>
      </c>
      <c r="BG999" t="s">
        <v>74</v>
      </c>
      <c r="BH999" t="s">
        <v>74</v>
      </c>
      <c r="BI999">
        <v>6</v>
      </c>
      <c r="BJ999" t="s">
        <v>13647</v>
      </c>
      <c r="BK999" t="s">
        <v>13181</v>
      </c>
      <c r="BL999" t="s">
        <v>4486</v>
      </c>
      <c r="BM999" t="s">
        <v>13648</v>
      </c>
      <c r="BN999" t="s">
        <v>74</v>
      </c>
      <c r="BO999" t="s">
        <v>74</v>
      </c>
      <c r="BP999" t="s">
        <v>74</v>
      </c>
      <c r="BQ999" t="s">
        <v>74</v>
      </c>
      <c r="BR999" t="s">
        <v>97</v>
      </c>
      <c r="BS999" t="s">
        <v>13802</v>
      </c>
      <c r="BT999" t="str">
        <f>HYPERLINK("https%3A%2F%2Fwww.webofscience.com%2Fwos%2Fwoscc%2Ffull-record%2FWOS:000183287900019","View Full Record in Web of Science")</f>
        <v>View Full Record in Web of Science</v>
      </c>
    </row>
    <row r="1000" spans="1:72" x14ac:dyDescent="0.15">
      <c r="A1000" t="s">
        <v>13166</v>
      </c>
      <c r="B1000" t="s">
        <v>13803</v>
      </c>
      <c r="C1000" t="s">
        <v>74</v>
      </c>
      <c r="D1000" t="s">
        <v>13631</v>
      </c>
      <c r="E1000" t="s">
        <v>74</v>
      </c>
      <c r="F1000" t="s">
        <v>13803</v>
      </c>
      <c r="G1000" t="s">
        <v>74</v>
      </c>
      <c r="H1000" t="s">
        <v>74</v>
      </c>
      <c r="I1000" t="s">
        <v>13804</v>
      </c>
      <c r="J1000" t="s">
        <v>13633</v>
      </c>
      <c r="K1000" t="s">
        <v>74</v>
      </c>
      <c r="L1000" t="s">
        <v>74</v>
      </c>
      <c r="M1000" t="s">
        <v>77</v>
      </c>
      <c r="N1000" t="s">
        <v>13171</v>
      </c>
      <c r="O1000" t="s">
        <v>13634</v>
      </c>
      <c r="P1000" t="s">
        <v>13635</v>
      </c>
      <c r="Q1000" t="s">
        <v>13636</v>
      </c>
      <c r="R1000" t="s">
        <v>74</v>
      </c>
      <c r="S1000" t="s">
        <v>13637</v>
      </c>
      <c r="T1000" t="s">
        <v>13805</v>
      </c>
      <c r="U1000" t="s">
        <v>13806</v>
      </c>
      <c r="V1000" t="s">
        <v>13807</v>
      </c>
      <c r="W1000" t="s">
        <v>13808</v>
      </c>
      <c r="X1000" t="s">
        <v>13809</v>
      </c>
      <c r="Y1000" t="s">
        <v>13810</v>
      </c>
      <c r="Z1000" t="s">
        <v>13811</v>
      </c>
      <c r="AA1000" t="s">
        <v>74</v>
      </c>
      <c r="AB1000" t="s">
        <v>13812</v>
      </c>
      <c r="AC1000" t="s">
        <v>74</v>
      </c>
      <c r="AD1000" t="s">
        <v>74</v>
      </c>
      <c r="AE1000" t="s">
        <v>74</v>
      </c>
      <c r="AF1000" t="s">
        <v>74</v>
      </c>
      <c r="AG1000">
        <v>30</v>
      </c>
      <c r="AH1000">
        <v>99</v>
      </c>
      <c r="AI1000">
        <v>108</v>
      </c>
      <c r="AJ1000">
        <v>0</v>
      </c>
      <c r="AK1000">
        <v>5</v>
      </c>
      <c r="AL1000" t="s">
        <v>13643</v>
      </c>
      <c r="AM1000" t="s">
        <v>13644</v>
      </c>
      <c r="AN1000" t="s">
        <v>13645</v>
      </c>
      <c r="AO1000" t="s">
        <v>74</v>
      </c>
      <c r="AP1000" t="s">
        <v>74</v>
      </c>
      <c r="AQ1000" t="s">
        <v>13646</v>
      </c>
      <c r="AR1000" t="s">
        <v>74</v>
      </c>
      <c r="AS1000" t="s">
        <v>74</v>
      </c>
      <c r="AT1000" t="s">
        <v>74</v>
      </c>
      <c r="AU1000">
        <v>2003</v>
      </c>
      <c r="AV1000" t="s">
        <v>74</v>
      </c>
      <c r="AW1000" t="s">
        <v>74</v>
      </c>
      <c r="AX1000" t="s">
        <v>74</v>
      </c>
      <c r="AY1000" t="s">
        <v>74</v>
      </c>
      <c r="AZ1000" t="s">
        <v>74</v>
      </c>
      <c r="BA1000" t="s">
        <v>74</v>
      </c>
      <c r="BB1000">
        <v>135</v>
      </c>
      <c r="BC1000">
        <v>139</v>
      </c>
      <c r="BD1000" t="s">
        <v>74</v>
      </c>
      <c r="BE1000" t="s">
        <v>74</v>
      </c>
      <c r="BF1000" t="s">
        <v>74</v>
      </c>
      <c r="BG1000" t="s">
        <v>74</v>
      </c>
      <c r="BH1000" t="s">
        <v>74</v>
      </c>
      <c r="BI1000">
        <v>5</v>
      </c>
      <c r="BJ1000" t="s">
        <v>13647</v>
      </c>
      <c r="BK1000" t="s">
        <v>13181</v>
      </c>
      <c r="BL1000" t="s">
        <v>4486</v>
      </c>
      <c r="BM1000" t="s">
        <v>13648</v>
      </c>
      <c r="BN1000" t="s">
        <v>74</v>
      </c>
      <c r="BO1000" t="s">
        <v>74</v>
      </c>
      <c r="BP1000" t="s">
        <v>74</v>
      </c>
      <c r="BQ1000" t="s">
        <v>74</v>
      </c>
      <c r="BR1000" t="s">
        <v>97</v>
      </c>
      <c r="BS1000" t="s">
        <v>13813</v>
      </c>
      <c r="BT1000" t="str">
        <f>HYPERLINK("https%3A%2F%2Fwww.webofscience.com%2Fwos%2Fwoscc%2Ffull-record%2FWOS:000183287900020","View Full Record in Web of Science")</f>
        <v>View Full Record in Web of Science</v>
      </c>
    </row>
    <row r="1001" spans="1:72" x14ac:dyDescent="0.15">
      <c r="A1001" t="s">
        <v>13166</v>
      </c>
      <c r="B1001" t="s">
        <v>13814</v>
      </c>
      <c r="C1001" t="s">
        <v>74</v>
      </c>
      <c r="D1001" t="s">
        <v>13631</v>
      </c>
      <c r="E1001" t="s">
        <v>74</v>
      </c>
      <c r="F1001" t="s">
        <v>13814</v>
      </c>
      <c r="G1001" t="s">
        <v>74</v>
      </c>
      <c r="H1001" t="s">
        <v>74</v>
      </c>
      <c r="I1001" t="s">
        <v>13815</v>
      </c>
      <c r="J1001" t="s">
        <v>13633</v>
      </c>
      <c r="K1001" t="s">
        <v>74</v>
      </c>
      <c r="L1001" t="s">
        <v>74</v>
      </c>
      <c r="M1001" t="s">
        <v>77</v>
      </c>
      <c r="N1001" t="s">
        <v>13171</v>
      </c>
      <c r="O1001" t="s">
        <v>13634</v>
      </c>
      <c r="P1001" t="s">
        <v>13635</v>
      </c>
      <c r="Q1001" t="s">
        <v>13636</v>
      </c>
      <c r="R1001" t="s">
        <v>74</v>
      </c>
      <c r="S1001" t="s">
        <v>13637</v>
      </c>
      <c r="T1001" t="s">
        <v>13816</v>
      </c>
      <c r="U1001" t="s">
        <v>13817</v>
      </c>
      <c r="V1001" t="s">
        <v>13818</v>
      </c>
      <c r="W1001" t="s">
        <v>13819</v>
      </c>
      <c r="X1001" t="s">
        <v>13820</v>
      </c>
      <c r="Y1001" t="s">
        <v>13821</v>
      </c>
      <c r="Z1001" t="s">
        <v>74</v>
      </c>
      <c r="AA1001" t="s">
        <v>74</v>
      </c>
      <c r="AB1001" t="s">
        <v>74</v>
      </c>
      <c r="AC1001" t="s">
        <v>74</v>
      </c>
      <c r="AD1001" t="s">
        <v>74</v>
      </c>
      <c r="AE1001" t="s">
        <v>74</v>
      </c>
      <c r="AF1001" t="s">
        <v>74</v>
      </c>
      <c r="AG1001">
        <v>19</v>
      </c>
      <c r="AH1001">
        <v>2</v>
      </c>
      <c r="AI1001">
        <v>2</v>
      </c>
      <c r="AJ1001">
        <v>0</v>
      </c>
      <c r="AK1001">
        <v>2</v>
      </c>
      <c r="AL1001" t="s">
        <v>13643</v>
      </c>
      <c r="AM1001" t="s">
        <v>13644</v>
      </c>
      <c r="AN1001" t="s">
        <v>13645</v>
      </c>
      <c r="AO1001" t="s">
        <v>74</v>
      </c>
      <c r="AP1001" t="s">
        <v>74</v>
      </c>
      <c r="AQ1001" t="s">
        <v>13646</v>
      </c>
      <c r="AR1001" t="s">
        <v>74</v>
      </c>
      <c r="AS1001" t="s">
        <v>74</v>
      </c>
      <c r="AT1001" t="s">
        <v>74</v>
      </c>
      <c r="AU1001">
        <v>2003</v>
      </c>
      <c r="AV1001" t="s">
        <v>74</v>
      </c>
      <c r="AW1001" t="s">
        <v>74</v>
      </c>
      <c r="AX1001" t="s">
        <v>74</v>
      </c>
      <c r="AY1001" t="s">
        <v>74</v>
      </c>
      <c r="AZ1001" t="s">
        <v>74</v>
      </c>
      <c r="BA1001" t="s">
        <v>74</v>
      </c>
      <c r="BB1001">
        <v>140</v>
      </c>
      <c r="BC1001">
        <v>143</v>
      </c>
      <c r="BD1001" t="s">
        <v>74</v>
      </c>
      <c r="BE1001" t="s">
        <v>74</v>
      </c>
      <c r="BF1001" t="s">
        <v>74</v>
      </c>
      <c r="BG1001" t="s">
        <v>74</v>
      </c>
      <c r="BH1001" t="s">
        <v>74</v>
      </c>
      <c r="BI1001">
        <v>4</v>
      </c>
      <c r="BJ1001" t="s">
        <v>13647</v>
      </c>
      <c r="BK1001" t="s">
        <v>13181</v>
      </c>
      <c r="BL1001" t="s">
        <v>4486</v>
      </c>
      <c r="BM1001" t="s">
        <v>13648</v>
      </c>
      <c r="BN1001" t="s">
        <v>74</v>
      </c>
      <c r="BO1001" t="s">
        <v>74</v>
      </c>
      <c r="BP1001" t="s">
        <v>74</v>
      </c>
      <c r="BQ1001" t="s">
        <v>74</v>
      </c>
      <c r="BR1001" t="s">
        <v>97</v>
      </c>
      <c r="BS1001" t="s">
        <v>13822</v>
      </c>
      <c r="BT1001" t="str">
        <f>HYPERLINK("https%3A%2F%2Fwww.webofscience.com%2Fwos%2Fwoscc%2Ffull-record%2FWOS:000183287900021","View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2024-07-28T15:26:31Z</dcterms:created>
  <dcterms:modified xsi:type="dcterms:W3CDTF">2024-07-28T15:26:31Z</dcterms:modified>
</cp:coreProperties>
</file>